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Gww6llmLHLvOI2jOP94rGsQ+SMba9byqG1mNlhMoI6foM1BjHBpP2ePTsSR46atcbsRpfNd+uk8SgqWuDjegMw==" workbookSaltValue="b+U632s6/iGXCTe5fJHtH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6" i="8" l="1"/>
  <c r="F16" i="11"/>
  <c r="AQ16" i="11" s="1"/>
  <c r="K30" i="2"/>
  <c r="AL21" i="11"/>
  <c r="L17" i="14"/>
  <c r="X12" i="17"/>
  <c r="R8" i="9"/>
  <c r="R13" i="17"/>
  <c r="P13" i="14"/>
  <c r="BG17" i="13"/>
  <c r="X12" i="21"/>
  <c r="AP17" i="20"/>
  <c r="BH9" i="16"/>
  <c r="BL19" i="11"/>
  <c r="V16" i="11"/>
  <c r="BJ22" i="11"/>
  <c r="BF13" i="11"/>
  <c r="BJ18" i="11"/>
  <c r="BG25" i="11"/>
  <c r="BG10" i="11"/>
  <c r="BH16" i="16"/>
  <c r="BM17" i="11"/>
  <c r="Q18" i="20"/>
  <c r="Q23" i="20" s="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I10" i="12" l="1"/>
  <c r="I16" i="12"/>
  <c r="K9" i="12"/>
  <c r="BF23" i="13"/>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22" i="2"/>
  <c r="X22" i="16"/>
  <c r="S16" i="17"/>
  <c r="S17" i="17"/>
  <c r="L12" i="2"/>
  <c r="X19" i="16"/>
  <c r="X10" i="21"/>
  <c r="L20" i="2"/>
  <c r="U9" i="17"/>
  <c r="U31" i="17" s="1"/>
  <c r="V10" i="16"/>
  <c r="V9" i="16"/>
  <c r="X13" i="16"/>
  <c r="V11" i="16"/>
  <c r="BF21" i="11"/>
  <c r="V25" i="11"/>
  <c r="BL25" i="11"/>
  <c r="Q25" i="11" s="1"/>
  <c r="BF10" i="11"/>
  <c r="V11" i="11"/>
  <c r="BM12" i="11"/>
  <c r="V9" i="11"/>
  <c r="BJ16" i="11"/>
  <c r="BJ23" i="11" s="1"/>
  <c r="AP16" i="20"/>
  <c r="V20" i="11"/>
  <c r="BG19" i="11"/>
  <c r="BL29" i="11"/>
  <c r="BW20" i="20"/>
  <c r="BV18" i="16"/>
  <c r="BV12" i="16"/>
  <c r="BV16" i="16"/>
  <c r="U10" i="17"/>
  <c r="BU18" i="17"/>
  <c r="BU12" i="17"/>
  <c r="S25" i="17"/>
  <c r="AZ11" i="11"/>
  <c r="P16" i="17"/>
  <c r="P23" i="17" s="1"/>
  <c r="P31" i="17" s="1"/>
  <c r="BF12" i="11"/>
  <c r="BH25" i="16"/>
  <c r="BK20" i="11"/>
  <c r="BJ10" i="11"/>
  <c r="Q16" i="17"/>
  <c r="BF16" i="11"/>
  <c r="BL22" i="11"/>
  <c r="BI22" i="11"/>
  <c r="BK10" i="11"/>
  <c r="L28" i="2"/>
  <c r="L17" i="2"/>
  <c r="AA11" i="16"/>
  <c r="BF17" i="11"/>
  <c r="BL12" i="11"/>
  <c r="BK21" i="11"/>
  <c r="BI25" i="11"/>
  <c r="V13" i="11"/>
  <c r="BI19" i="11"/>
  <c r="AP22" i="20"/>
  <c r="R25" i="14"/>
  <c r="AZ9" i="11"/>
  <c r="T16" i="16"/>
  <c r="T23" i="16" s="1"/>
  <c r="T31" i="16" s="1"/>
  <c r="BV19" i="16"/>
  <c r="BW18" i="20"/>
  <c r="BW12" i="20"/>
  <c r="BW16" i="20"/>
  <c r="BV10" i="16"/>
  <c r="V12" i="16"/>
  <c r="S22" i="17"/>
  <c r="BF20" i="11"/>
  <c r="BF23" i="11" s="1"/>
  <c r="S16" i="16"/>
  <c r="S23" i="16" s="1"/>
  <c r="BL20" i="11"/>
  <c r="Q20" i="11" s="1"/>
  <c r="BL16" i="11"/>
  <c r="BH21" i="11"/>
  <c r="AZ25" i="11"/>
  <c r="AZ30" i="11" s="1"/>
  <c r="BK17" i="11"/>
  <c r="BM18" i="11"/>
  <c r="BH17" i="11"/>
  <c r="AQ12" i="21"/>
  <c r="BH25" i="11"/>
  <c r="BI21" i="11"/>
  <c r="L10" i="2"/>
  <c r="X21" i="20"/>
  <c r="L16" i="2"/>
  <c r="L18" i="2"/>
  <c r="X16" i="16"/>
  <c r="X23" i="16" s="1"/>
  <c r="L9" i="2"/>
  <c r="V25"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P16" i="11"/>
  <c r="K12" i="12"/>
  <c r="AJ23" i="11"/>
  <c r="D23" i="5"/>
  <c r="P18" i="11"/>
  <c r="D25" i="2"/>
  <c r="E25" i="6"/>
  <c r="K25" i="12" s="1"/>
  <c r="AO25" i="11"/>
  <c r="F17" i="2"/>
  <c r="H17" i="2"/>
  <c r="J17" i="2"/>
  <c r="F14" i="3"/>
  <c r="E9" i="3"/>
  <c r="G9" i="3"/>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BL23" i="11" l="1"/>
  <c r="AA31" i="11"/>
  <c r="P20" i="11"/>
  <c r="AZ31" i="11"/>
  <c r="AZ14"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<sst xmlns="http://schemas.openxmlformats.org/spreadsheetml/2006/main" count="2682" uniqueCount="1193">
  <si>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</si>
  <si>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</si>
  <si>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</si>
  <si>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</si>
  <si>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</si>
  <si>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</si>
  <si>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</si>
  <si>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</si>
  <si>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</si>
  <si>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</si>
  <si>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</si>
  <si>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</si>
  <si>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</si>
  <si>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</si>
  <si>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</si>
  <si>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</si>
  <si>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</si>
  <si>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</si>
  <si>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</si>
  <si>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</si>
  <si>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</si>
  <si>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</si>
  <si>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</si>
  <si>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</si>
  <si>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</si>
  <si>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</si>
  <si>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</si>
  <si>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</si>
  <si>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</si>
  <si>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</si>
  <si>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</si>
  <si>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</si>
  <si>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</si>
  <si>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</si>
  <si>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</si>
  <si>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</si>
  <si>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</si>
  <si>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</si>
  <si>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</si>
  <si>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</si>
  <si>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</si>
  <si>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</si>
  <si>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</si>
  <si>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</si>
  <si>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</si>
  <si>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</si>
  <si>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</si>
  <si>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</si>
  <si>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</si>
  <si>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</si>
  <si>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</si>
  <si>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</si>
  <si>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</si>
  <si>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</si>
  <si>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</si>
  <si>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</si>
  <si>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</si>
  <si>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</si>
  <si>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</si>
  <si>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</si>
  <si>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</si>
  <si>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</si>
  <si>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</si>
  <si>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</si>
  <si>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</si>
  <si>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</si>
  <si>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</si>
  <si>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</si>
  <si>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</si>
  <si>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</si>
  <si>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</si>
  <si>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</si>
  <si>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</si>
  <si>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</si>
  <si>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</si>
  <si>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</si>
  <si>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</si>
  <si>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</si>
  <si>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</si>
  <si>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</si>
  <si>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</si>
  <si>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</si>
  <si>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</si>
  <si>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</si>
  <si>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</si>
  <si>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</si>
  <si>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</si>
  <si>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</si>
  <si>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</si>
  <si>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</si>
  <si>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</si>
  <si>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</si>
  <si>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</si>
  <si>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</si>
  <si>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</si>
  <si>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</si>
  <si>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</si>
  <si>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</si>
  <si>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</si>
  <si>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</si>
  <si>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</si>
  <si>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</si>
  <si>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</si>
  <si>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</si>
  <si>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</si>
  <si>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</si>
  <si>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</si>
  <si>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</si>
  <si>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</si>
  <si>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</si>
  <si>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</si>
  <si>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</si>
  <si>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</si>
  <si>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</si>
  <si>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</si>
  <si>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</si>
  <si>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</si>
  <si>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</si>
  <si>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</si>
  <si>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</si>
  <si>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</si>
  <si>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</si>
  <si>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</si>
  <si>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</si>
  <si>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</si>
  <si>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</si>
  <si>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</si>
  <si>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</si>
  <si>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</si>
  <si>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</si>
  <si>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</si>
  <si>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</si>
  <si>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</si>
  <si>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</si>
  <si>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</si>
  <si>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</si>
  <si>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</si>
  <si>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</si>
  <si>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</si>
  <si>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</si>
  <si>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</si>
  <si>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</si>
  <si>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</si>
  <si>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</si>
  <si>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</si>
  <si>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</si>
  <si>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</si>
  <si>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</si>
  <si>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</si>
  <si>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</si>
  <si>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</si>
  <si>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</si>
  <si>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</si>
  <si>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</si>
  <si>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</si>
  <si>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</si>
  <si>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</si>
  <si>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</si>
  <si>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</si>
  <si>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</si>
  <si>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</si>
  <si>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</si>
  <si>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</si>
  <si>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</si>
  <si>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</si>
  <si>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</si>
  <si>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</si>
  <si>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</si>
  <si>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</si>
  <si>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</si>
  <si>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</si>
  <si>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</si>
  <si>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</si>
  <si>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</si>
  <si>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</si>
  <si>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</si>
  <si>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</si>
  <si>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</si>
  <si>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</si>
  <si>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</si>
  <si>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</si>
  <si>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</si>
  <si>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</si>
  <si>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</si>
  <si>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</si>
  <si>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</si>
  <si>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</si>
  <si>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</si>
  <si>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</si>
  <si>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</si>
  <si>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</si>
  <si>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</si>
  <si>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</si>
  <si>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</si>
  <si>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</si>
  <si>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</si>
  <si>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</si>
  <si>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</si>
  <si>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</si>
  <si>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</si>
  <si>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</si>
  <si>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</si>
  <si>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</si>
  <si>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</si>
  <si>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</si>
  <si>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</si>
  <si>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</si>
  <si>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</si>
  <si>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</si>
  <si>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</si>
  <si>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</si>
  <si>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</si>
  <si>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</si>
  <si>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</si>
  <si>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</si>
  <si>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</si>
  <si>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</si>
  <si>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</si>
  <si>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</si>
  <si>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</si>
  <si>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</si>
  <si>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</si>
  <si>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</si>
  <si>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</si>
  <si>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</si>
  <si>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</si>
  <si>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</si>
  <si>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</si>
  <si>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</si>
  <si>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</si>
  <si>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</si>
  <si>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</si>
  <si>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</si>
  <si>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</si>
  <si>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</si>
  <si>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</si>
  <si>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</si>
  <si>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</si>
  <si>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</si>
  <si>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</si>
  <si>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</si>
  <si>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</si>
  <si>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</si>
  <si>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</si>
  <si>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</si>
  <si>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</si>
  <si>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</si>
  <si>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</si>
  <si>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</si>
  <si>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</si>
  <si>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</si>
  <si>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</si>
  <si>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</si>
  <si>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</si>
  <si>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</si>
  <si>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</si>
  <si>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</si>
  <si>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</si>
  <si>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</si>
  <si>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</si>
  <si>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</si>
  <si>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</si>
  <si>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</si>
  <si>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</si>
  <si>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</si>
  <si>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</si>
  <si>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</si>
  <si>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</si>
  <si>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</si>
  <si>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</si>
  <si>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</si>
  <si>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</si>
  <si>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</si>
  <si>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</si>
  <si>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</si>
  <si>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</si>
  <si>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</si>
  <si>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</si>
  <si>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</si>
  <si>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</si>
  <si>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</si>
  <si>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</si>
  <si>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</si>
  <si>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</si>
  <si>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</si>
  <si>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</si>
  <si>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</si>
  <si>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</si>
  <si>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</si>
  <si>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</si>
  <si>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</si>
  <si>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</si>
  <si>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</si>
  <si>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</si>
  <si>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</si>
  <si>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</si>
  <si>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</si>
  <si>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</si>
  <si>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</si>
  <si>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</si>
  <si>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</si>
  <si>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</si>
  <si>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</si>
  <si>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</si>
  <si>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</si>
  <si>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</si>
  <si>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</si>
  <si>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</si>
  <si>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</si>
  <si>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</si>
  <si>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</si>
  <si>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</si>
  <si>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</si>
  <si>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</si>
  <si>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</si>
  <si>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</si>
  <si>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</si>
  <si>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</si>
  <si>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</si>
  <si>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</si>
  <si>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</si>
  <si>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</si>
  <si>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</si>
  <si>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</si>
  <si>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</si>
  <si>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</si>
  <si>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</si>
  <si>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</si>
  <si>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</si>
  <si>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</si>
  <si>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</si>
  <si>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</si>
  <si>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</si>
  <si>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</si>
  <si>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</si>
  <si>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</si>
  <si>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</si>
  <si>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</si>
  <si>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</si>
  <si>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</si>
  <si>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</si>
  <si>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</si>
  <si>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</si>
  <si>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</si>
  <si>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</si>
  <si>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</si>
  <si>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</si>
  <si>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</si>
  <si>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</si>
  <si>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</si>
  <si>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</si>
  <si>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</si>
  <si>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</si>
  <si>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</si>
  <si>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</si>
  <si>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</si>
  <si>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</si>
  <si>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</si>
  <si>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</si>
  <si>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</si>
  <si>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</si>
  <si>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</si>
  <si>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</si>
  <si>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</si>
  <si>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</si>
  <si>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</si>
  <si>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</si>
  <si>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</si>
  <si>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</si>
  <si>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</si>
  <si>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</si>
  <si>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</si>
  <si>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</si>
  <si>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</si>
  <si>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</si>
  <si>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</si>
  <si>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</si>
  <si>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</si>
  <si>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</si>
  <si>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</si>
  <si>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</si>
  <si>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</si>
  <si>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</si>
  <si>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</si>
  <si>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</si>
  <si>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</si>
  <si>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</si>
  <si>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</si>
  <si>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</si>
  <si>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</si>
  <si>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</si>
  <si>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</si>
  <si>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</si>
  <si>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</si>
  <si>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</si>
  <si>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</si>
  <si>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</si>
  <si>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</si>
  <si>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</si>
  <si>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</si>
  <si>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</si>
  <si>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</si>
  <si>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</si>
  <si>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</si>
  <si>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</si>
  <si>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</si>
  <si>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</si>
  <si>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</si>
  <si>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</si>
  <si>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</si>
  <si>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</si>
  <si>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</si>
  <si>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</si>
  <si>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</si>
  <si>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</si>
  <si>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</si>
  <si>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</si>
  <si>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</si>
  <si>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</si>
  <si>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</si>
  <si>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</si>
  <si>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</si>
  <si>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</si>
  <si>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</si>
  <si>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</si>
  <si>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</si>
  <si>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</si>
  <si>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</si>
  <si>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</si>
  <si>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</si>
  <si>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</si>
  <si>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</si>
  <si>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</si>
  <si>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</si>
  <si>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</si>
  <si>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</si>
  <si>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</si>
  <si>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</si>
  <si>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</si>
  <si>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</si>
  <si>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</si>
  <si>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</si>
  <si>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</si>
  <si>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</si>
  <si>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</si>
  <si>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</si>
  <si>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</si>
  <si>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</si>
  <si>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</si>
  <si>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</si>
  <si>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</si>
  <si>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</si>
  <si>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</si>
  <si>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</si>
  <si>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</si>
  <si>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</si>
  <si>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</si>
  <si>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</si>
  <si>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</si>
  <si>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</si>
  <si>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</si>
  <si>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</si>
  <si>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</si>
  <si>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</si>
  <si>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</si>
  <si>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</si>
  <si>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</si>
  <si>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</si>
  <si>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</si>
  <si>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</si>
  <si>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</si>
  <si>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</si>
  <si>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</si>
  <si>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</si>
  <si>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</si>
  <si>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</si>
  <si>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</si>
  <si>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</si>
  <si>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</si>
  <si>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</si>
  <si>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</si>
  <si>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</si>
  <si>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</si>
  <si>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</si>
  <si>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</si>
  <si>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</si>
  <si>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</si>
  <si>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</si>
  <si>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</si>
  <si>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</si>
  <si>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</si>
  <si>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</si>
  <si>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</si>
  <si>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</si>
  <si>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</si>
  <si>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</si>
  <si>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</si>
  <si>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</si>
  <si>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</si>
  <si>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</si>
  <si>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</si>
  <si>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</si>
  <si>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</si>
  <si>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</si>
  <si>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</si>
  <si>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</si>
  <si>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</si>
  <si>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</si>
  <si>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</si>
  <si>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</si>
  <si>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</si>
  <si>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</si>
  <si>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</si>
  <si>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</si>
  <si>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</si>
  <si>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</si>
  <si>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</si>
  <si>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</si>
  <si>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</si>
  <si>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</si>
  <si>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</si>
  <si>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</si>
  <si>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</si>
  <si>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</si>
  <si>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</si>
  <si>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</si>
  <si>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</si>
  <si>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</si>
  <si>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</si>
  <si>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</si>
  <si>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</si>
  <si>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</si>
  <si>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</si>
  <si>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</si>
  <si>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</si>
  <si>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</si>
  <si>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</si>
  <si>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</si>
  <si>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</si>
  <si>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</si>
  <si>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</si>
  <si>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</si>
  <si>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</si>
  <si>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</si>
  <si>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</si>
  <si>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</si>
  <si>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</si>
  <si>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</si>
  <si>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</si>
  <si>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</si>
  <si>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</si>
  <si>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</si>
  <si>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</si>
  <si>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</si>
  <si>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</si>
  <si>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</si>
  <si>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</si>
  <si>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</si>
  <si>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</si>
  <si>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</si>
  <si>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</si>
  <si>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</si>
  <si>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</si>
  <si>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</si>
  <si>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</si>
  <si>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</si>
  <si>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</si>
  <si>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</si>
  <si>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</si>
  <si>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</si>
  <si>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</si>
  <si>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</si>
  <si>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</si>
  <si>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</si>
  <si>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</si>
  <si>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</si>
  <si>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</si>
  <si>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</si>
  <si>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</si>
  <si>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</si>
  <si>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</si>
  <si>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</si>
  <si>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</si>
  <si>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</si>
  <si>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</si>
  <si>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</si>
  <si>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</si>
  <si>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</si>
  <si>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</si>
  <si>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</si>
  <si>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</si>
  <si>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</si>
  <si>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</si>
  <si>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</si>
  <si>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</si>
  <si>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</si>
  <si>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</si>
  <si>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</si>
  <si>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</si>
  <si>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</si>
  <si>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</si>
  <si>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</si>
  <si>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</si>
  <si>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</si>
  <si>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</si>
  <si>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</si>
  <si>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</si>
  <si>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</si>
  <si>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</si>
  <si>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</si>
  <si>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</si>
  <si>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</si>
  <si>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</si>
  <si>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</si>
  <si>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</si>
  <si>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</si>
  <si>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</si>
  <si>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</si>
  <si>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</si>
  <si>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</si>
  <si>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</si>
  <si>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</si>
  <si>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</si>
  <si>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</si>
  <si>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</si>
  <si>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</si>
  <si>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</si>
  <si>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</si>
  <si>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</si>
  <si>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</si>
  <si>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</si>
  <si>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</si>
  <si>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</si>
  <si>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</si>
  <si>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</si>
  <si>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</si>
  <si>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</si>
  <si>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</si>
  <si>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</si>
  <si>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</si>
  <si>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</si>
  <si>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</si>
  <si>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</si>
  <si>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</si>
  <si>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</si>
  <si>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</si>
  <si>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</si>
  <si>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</si>
  <si>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</si>
  <si>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</si>
  <si>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</si>
  <si>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</si>
  <si>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</si>
  <si>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</si>
  <si>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</si>
  <si>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</si>
  <si>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</si>
  <si>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</si>
  <si>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</si>
  <si>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</si>
  <si>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</si>
  <si>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</si>
  <si>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</si>
  <si>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</si>
  <si>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</si>
  <si>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</si>
  <si>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</si>
  <si>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</si>
  <si>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</si>
  <si>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</si>
  <si>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</si>
  <si>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</si>
  <si>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</si>
  <si>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</si>
  <si>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</si>
  <si>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</si>
  <si>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</si>
  <si>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</si>
  <si>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</si>
  <si>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</si>
  <si>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</si>
  <si>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</si>
  <si>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</si>
  <si>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</si>
  <si>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</si>
  <si>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</si>
  <si>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</si>
  <si>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</si>
  <si>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</si>
  <si>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</si>
  <si>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</si>
  <si>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</si>
  <si>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</si>
  <si>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</si>
  <si>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</si>
  <si>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</si>
  <si>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</si>
  <si>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</si>
  <si>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</si>
  <si>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</si>
  <si>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</si>
  <si>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</si>
  <si>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</si>
  <si>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</si>
  <si>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</si>
  <si>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</si>
  <si>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</si>
  <si>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</si>
  <si>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</si>
  <si>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</si>
  <si>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</si>
  <si>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</si>
  <si>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</si>
  <si>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</si>
  <si>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</si>
  <si>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</si>
  <si>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</si>
  <si>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</si>
  <si>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</si>
  <si>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</si>
  <si>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</si>
  <si>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</si>
  <si>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</si>
  <si>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</si>
  <si>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</si>
  <si>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</si>
  <si>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</si>
  <si>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</si>
  <si>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</si>
  <si>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</si>
  <si>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</si>
  <si>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</si>
  <si>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</si>
  <si>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</si>
  <si>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</si>
  <si>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</si>
  <si>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</si>
  <si>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</si>
  <si>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</si>
  <si>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</si>
  <si>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</si>
  <si>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</si>
  <si>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</si>
  <si>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</si>
  <si>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</si>
  <si>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</si>
  <si>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</si>
  <si>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</si>
  <si>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</si>
  <si>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</si>
  <si>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</si>
  <si>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</si>
  <si>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</si>
  <si>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</si>
  <si>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</si>
  <si>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</si>
  <si>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</si>
  <si>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</si>
  <si>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</si>
  <si>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</si>
  <si>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</si>
  <si>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</si>
  <si>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</si>
  <si>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</si>
  <si>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</si>
  <si>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</si>
  <si>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</si>
  <si>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</si>
  <si>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</si>
  <si>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</si>
  <si>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</si>
  <si>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</si>
  <si>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</si>
  <si>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</si>
  <si>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</si>
  <si>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</si>
  <si>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</si>
  <si>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</si>
  <si>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</si>
  <si>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</si>
  <si>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</si>
  <si>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</si>
  <si>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</si>
  <si>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</si>
  <si>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</si>
  <si>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</si>
  <si>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</si>
  <si>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</si>
  <si>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</si>
  <si>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</si>
  <si>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</si>
  <si>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</si>
  <si>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</si>
  <si>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</si>
  <si>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</si>
  <si>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</si>
  <si>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</si>
  <si>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</si>
  <si>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</si>
  <si>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</si>
  <si>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</si>
  <si>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</si>
  <si>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</si>
  <si>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</si>
  <si>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</si>
  <si>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</si>
  <si>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</si>
  <si>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</si>
  <si>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</si>
  <si>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</si>
  <si>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</si>
  <si>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</si>
  <si>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</si>
  <si>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</si>
  <si>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</si>
  <si>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</si>
  <si>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</si>
  <si>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</si>
  <si>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</si>
  <si>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</si>
  <si>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</si>
  <si>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</si>
  <si>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</si>
  <si>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</si>
  <si>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</si>
  <si>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</si>
  <si>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</si>
  <si>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</si>
  <si>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</si>
  <si>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</si>
  <si>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</si>
  <si>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</si>
  <si>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</si>
  <si>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</si>
  <si>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</si>
  <si>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</si>
  <si>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</si>
  <si>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</si>
  <si>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</si>
  <si>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</si>
  <si>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</si>
  <si>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</si>
  <si>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</si>
  <si>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</si>
  <si>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</si>
  <si>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</si>
  <si>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</si>
  <si>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</si>
  <si>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</si>
  <si>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</si>
  <si>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</si>
  <si>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</si>
  <si>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</si>
  <si>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</si>
  <si>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</si>
  <si>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</si>
  <si>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</si>
  <si>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</si>
  <si>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</si>
  <si>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</si>
  <si>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</si>
  <si>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</si>
  <si>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</si>
  <si>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</si>
  <si>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</si>
  <si>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</si>
  <si>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</si>
  <si>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</si>
  <si>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</si>
  <si>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</si>
  <si>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</si>
  <si>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</si>
  <si>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</si>
  <si>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</si>
  <si>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</si>
  <si>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</si>
  <si>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</si>
  <si>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</si>
  <si>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</si>
  <si>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</si>
  <si>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</si>
  <si>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</si>
  <si>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</si>
  <si>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</si>
  <si>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</si>
  <si>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</si>
  <si>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</si>
  <si>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</si>
  <si>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</si>
  <si>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</si>
  <si>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</si>
  <si>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</si>
  <si>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</si>
  <si>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</si>
  <si>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</si>
  <si>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</si>
  <si>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</si>
  <si>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</si>
  <si>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</si>
  <si>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</si>
  <si>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</si>
  <si>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</si>
  <si>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</si>
  <si>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</si>
  <si>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</si>
  <si>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</si>
  <si>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</si>
  <si>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</si>
  <si>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</si>
  <si>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</si>
  <si>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</si>
  <si>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</si>
  <si>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</si>
  <si>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</si>
  <si>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</si>
  <si>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</si>
  <si>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</si>
  <si>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</si>
  <si>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</si>
  <si>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</si>
  <si>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</si>
  <si>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</si>
  <si>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</si>
  <si>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</si>
  <si>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</si>
  <si>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</si>
  <si>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</si>
  <si>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</si>
  <si>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</si>
  <si>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</si>
  <si>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</si>
  <si>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</si>
  <si>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</si>
  <si>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</si>
  <si>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</si>
  <si>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</si>
  <si>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</si>
  <si>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</si>
  <si>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</si>
  <si>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</si>
  <si>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</si>
  <si>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</si>
  <si>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</si>
  <si>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</si>
  <si>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</si>
  <si>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</si>
  <si>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</si>
  <si>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</si>
  <si>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</si>
  <si>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</si>
  <si>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</si>
  <si>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</si>
  <si>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</si>
  <si>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</si>
  <si>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</si>
  <si>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</si>
  <si>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</si>
  <si>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</si>
  <si>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</si>
  <si>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</si>
  <si>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</si>
  <si>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</si>
  <si>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</si>
  <si>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</si>
  <si>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</si>
  <si>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</si>
  <si>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</si>
  <si>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</si>
  <si>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</si>
  <si>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</si>
  <si>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</si>
  <si>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</si>
  <si>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</si>
  <si>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</si>
  <si>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</si>
  <si>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</si>
  <si>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</si>
  <si>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</si>
  <si>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</si>
  <si>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</si>
  <si>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</si>
  <si>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</si>
  <si>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</si>
  <si>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</si>
  <si>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</si>
  <si>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</si>
  <si>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</si>
  <si>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</si>
  <si>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</si>
  <si>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</si>
  <si>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</si>
  <si>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</si>
  <si>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</si>
  <si>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</si>
  <si>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</si>
  <si>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</si>
  <si>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</si>
  <si>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</si>
  <si>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</si>
  <si>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</si>
  <si>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</si>
  <si>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</si>
  <si>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</si>
  <si>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</si>
  <si>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</si>
  <si>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</si>
  <si>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</si>
  <si>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</si>
  <si>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</si>
  <si>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</si>
  <si>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</si>
  <si>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</si>
  <si>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</si>
  <si>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</si>
  <si>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</si>
  <si>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</si>
  <si>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</si>
  <si>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</si>
  <si>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</si>
  <si>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</si>
  <si>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</si>
  <si>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</si>
  <si>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</si>
  <si>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</si>
  <si>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</si>
  <si>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</si>
  <si>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</si>
  <si>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</si>
  <si>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</si>
  <si>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</si>
  <si>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</si>
  <si>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</si>
  <si>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</si>
  <si>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</si>
  <si>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</si>
  <si>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</si>
  <si>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</si>
  <si>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</si>
  <si>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</si>
  <si>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</si>
  <si>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</si>
  <si>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</si>
  <si>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</si>
  <si>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</si>
  <si>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</si>
  <si>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</si>
  <si>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</si>
  <si>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</si>
  <si>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</si>
  <si>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</si>
  <si>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</si>
  <si>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</si>
  <si>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</si>
  <si>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</si>
  <si>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</si>
  <si>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</si>
  <si>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</si>
  <si>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</si>
  <si>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</si>
  <si>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</si>
  <si>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</si>
  <si>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</si>
  <si>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</si>
  <si>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</si>
  <si>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</si>
  <si>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</si>
  <si>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</si>
  <si>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</si>
  <si>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</si>
  <si>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</si>
  <si>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</si>
  <si>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</si>
  <si>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</si>
  <si>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</si>
  <si>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</si>
  <si>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</si>
  <si>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</si>
  <si>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</si>
  <si>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</si>
  <si>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</si>
  <si>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</si>
  <si>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</si>
  <si>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</si>
  <si>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</si>
  <si>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</si>
  <si>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</si>
  <si>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</si>
  <si>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</si>
  <si>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</si>
  <si>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</si>
  <si>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</si>
  <si>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</si>
  <si>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</si>
  <si>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</si>
  <si>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</si>
  <si>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</si>
  <si>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</si>
  <si>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</si>
  <si>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</si>
  <si>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</si>
  <si>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</si>
  <si>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</si>
  <si>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</si>
  <si>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</si>
  <si>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</si>
  <si>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</si>
  <si>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</si>
  <si>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</si>
  <si>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</si>
  <si>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</si>
  <si>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</si>
  <si>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</si>
  <si>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</si>
  <si>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</si>
  <si>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</si>
  <si>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</si>
  <si>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</si>
  <si>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</si>
  <si>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</si>
  <si>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</si>
  <si>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</si>
  <si>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</si>
  <si>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</si>
  <si>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</si>
  <si>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</si>
  <si>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</si>
  <si>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</si>
  <si>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</si>
  <si>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</si>
  <si>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</si>
  <si>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</si>
  <si>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</si>
  <si>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</si>
  <si>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</si>
  <si>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</si>
  <si>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</si>
  <si>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</si>
  <si>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</si>
  <si>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</si>
  <si>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</si>
  <si>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</si>
  <si>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</si>
  <si>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</si>
  <si>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</si>
  <si>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</si>
  <si>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</si>
  <si>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</si>
  <si>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</si>
  <si>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</si>
  <si>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</si>
  <si>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</si>
  <si>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</si>
  <si>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</si>
  <si>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</si>
  <si>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</si>
  <si>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</si>
  <si>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</si>
  <si>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</si>
  <si>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</si>
  <si>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</si>
  <si>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</si>
  <si>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</si>
  <si>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</si>
  <si>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</si>
  <si>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</si>
  <si>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</si>
  <si>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</si>
  <si>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</si>
  <si>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</si>
  <si>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</si>
  <si>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</si>
  <si>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</si>
  <si>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</si>
  <si>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</si>
  <si>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</si>
  <si>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</si>
  <si>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</si>
  <si>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</si>
  <si>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</si>
  <si>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</si>
  <si>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</si>
  <si>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</si>
  <si>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</si>
  <si>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</si>
  <si>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</si>
  <si>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</si>
  <si>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</si>
  <si>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</si>
  <si>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</si>
  <si>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</si>
  <si>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MALAGA</t>
  </si>
  <si>
    <t>Resumenes por Partidos Judiciales</t>
  </si>
  <si>
    <t>MARBELLA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</si>
</sst>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vgWUtv1F/rO2LRnsUhQZHLt3D5ZDj93Pmxx1D3e+BaNAY14K6RLWjq6VWwCLc+GiW1dN1QSmkVYu9/igHlp8LQ==" saltValue="luLjjYSIpxK3pMBNPcFST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8</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32.79245283018868</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105</v>
      </c>
      <c r="D10" s="239">
        <f>IF(ISNUMBER(Datos!I10),Datos!I10," - ")</f>
        <v>105</v>
      </c>
      <c r="E10" s="240">
        <f>IF(ISNUMBER(Datos!J10),Datos!J10," - ")</f>
        <v>12</v>
      </c>
      <c r="F10" s="240">
        <f>IF(ISNUMBER(Datos!K10),Datos!K10," - ")</f>
        <v>38</v>
      </c>
      <c r="G10" s="1390" t="str">
        <f>IF(Datos!E10&lt;&gt;"",Datos!E10,Datos!D10)</f>
        <v>37</v>
      </c>
      <c r="H10" s="241">
        <f>IF(ISNUMBER(Datos!L10),Datos!L10," - ")</f>
        <v>79</v>
      </c>
      <c r="I10" s="1400" t="str">
        <f>IF(ISNUMBER(Datos!AS10/Datos!BM10),Datos!AS10/Datos!BM10," - ")</f>
        <v xml:space="preserve"> - </v>
      </c>
      <c r="J10" s="1401">
        <f>IF(ISNUMBER(Datos!BY10/Datos!CN10),Datos!BY10/Datos!CN10," - ")</f>
        <v>0</v>
      </c>
      <c r="K10" s="244">
        <f t="shared" ref="K10:K13" si="1">IF(ISNUMBER((E10-F10)/C10),(E10-F10)/C10," - ")</f>
        <v>-0.24761904761904763</v>
      </c>
      <c r="L10" s="1402">
        <f>IF(ISNUMBER(NºAsuntos!I10/NºAsuntos!G10),(NºAsuntos!I10/NºAsuntos!G10)*11," - ")</f>
        <v>22.868421052631579</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105</v>
      </c>
      <c r="D14" s="1407">
        <f>SUBTOTAL(9,D9:D13)</f>
        <v>105</v>
      </c>
      <c r="E14" s="1408">
        <f>SUBTOTAL(9,E9:E13)</f>
        <v>12</v>
      </c>
      <c r="F14" s="1409">
        <f>SUBTOTAL(9,F9:F13)</f>
        <v>38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5</v>
      </c>
      <c r="B16" s="1461" t="str">
        <f>Datos!A16</f>
        <v xml:space="preserve">Jdos. Instrucción                               </v>
      </c>
      <c r="C16" s="239">
        <f t="shared" ref="C16:C22" si="2">IF(ISNUMBER(H16-E16+F16),H16-E16+F16," - ")</f>
        <v>2727</v>
      </c>
      <c r="D16" s="239">
        <f>IF(ISNUMBER(IF(D_I="SI",Datos!I16,Datos!I16+Datos!AC16)),IF(D_I="SI",Datos!I16,Datos!I16+Datos!AC16)," - ")</f>
        <v>2675</v>
      </c>
      <c r="E16" s="240">
        <f>IF(ISNUMBER(IF(D_I="SI",Datos!J16,Datos!J16+Datos!AD16)),IF(D_I="SI",Datos!J16,Datos!J16+Datos!AD16)," - ")</f>
        <v>4161</v>
      </c>
      <c r="F16" s="240">
        <f>IF(ISNUMBER(IF(D_I="SI",Datos!K16,Datos!K16+Datos!AE16)),IF(D_I="SI",Datos!K16,Datos!K16+Datos!AE16)," - ")</f>
        <v>4012</v>
      </c>
      <c r="G16" s="1390" t="str">
        <f>IF(Datos!E16&lt;&gt;"",Datos!E16,Datos!D16)</f>
        <v>03</v>
      </c>
      <c r="H16" s="241">
        <f>IF(ISNUMBER(IF(D_I="SI",Datos!L16,Datos!L16+Datos!AF16)),IF(D_I="SI",Datos!L16,Datos!L16+Datos!AF16)," - ")</f>
        <v>2876</v>
      </c>
      <c r="I16" s="1400" t="str">
        <f>IF(ISNUMBER(Datos!AS16/Datos!BM16),Datos!AS16/Datos!BM16," - ")</f>
        <v xml:space="preserve"> - </v>
      </c>
      <c r="J16" s="1401">
        <f>IF(ISNUMBER(Datos!BY16/Datos!CN16),Datos!BY16/Datos!CN16," - ")</f>
        <v>0</v>
      </c>
      <c r="K16" s="244">
        <f t="shared" ref="K16:K22" si="3">IF(ISNUMBER((E16-F16)/C16),(E16-F16)/C16," - ")</f>
        <v>5.4638797213054639E-2</v>
      </c>
      <c r="L16" s="1402">
        <f>IF(ISNUMBER(NºAsuntos!I16/NºAsuntos!G16),(NºAsuntos!I16/NºAsuntos!G16)*11," - ")</f>
        <v>7.8853439680957127</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131</v>
      </c>
      <c r="D18" s="239">
        <f>IF(ISNUMBER(IF(D_I="SI",Datos!I18,Datos!I18+Datos!AC18)),IF(D_I="SI",Datos!I18,Datos!I18+Datos!AC18)," - ")</f>
        <v>124</v>
      </c>
      <c r="E18" s="240">
        <f>IF(ISNUMBER(IF(D_I="SI",Datos!J18,Datos!J18+Datos!AD18)),IF(D_I="SI",Datos!J18,Datos!J18+Datos!AD18)," - ")</f>
        <v>252</v>
      </c>
      <c r="F18" s="240">
        <f>IF(ISNUMBER(IF(D_I="SI",Datos!K18,Datos!K18+Datos!AE18)),IF(D_I="SI",Datos!K18,Datos!K18+Datos!AE18)," - ")</f>
        <v>276</v>
      </c>
      <c r="G18" s="1390" t="str">
        <f>IF(Datos!E18&lt;&gt;"",Datos!E18,Datos!D18)</f>
        <v>37</v>
      </c>
      <c r="H18" s="241">
        <f>IF(ISNUMBER(IF(D_I="SI",Datos!L18,Datos!L18+Datos!AF18)),IF(D_I="SI",Datos!L18,Datos!L18+Datos!AF18)," - ")</f>
        <v>107</v>
      </c>
      <c r="I18" s="1400" t="str">
        <f>IF(ISNUMBER(Datos!AS18/Datos!BM18),Datos!AS18/Datos!BM18," - ")</f>
        <v xml:space="preserve"> - </v>
      </c>
      <c r="J18" s="1401" t="str">
        <f>IF(ISNUMBER((Datos!BY18+Datos!BZ18)/Datos!CN18),(Datos!BY18+Datos!BZ18)/Datos!CN18," - ")</f>
        <v xml:space="preserve"> - </v>
      </c>
      <c r="K18" s="244">
        <f t="shared" si="3"/>
        <v>-0.18320610687022901</v>
      </c>
      <c r="L18" s="1402">
        <f>IF(ISNUMBER(NºAsuntos!I18/NºAsuntos!G18),(NºAsuntos!I18/NºAsuntos!G18)*11," - ")</f>
        <v>4.2644927536231885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2858</v>
      </c>
      <c r="D23" s="1407">
        <f>SUBTOTAL(9,D16:D22)</f>
        <v>2799</v>
      </c>
      <c r="E23" s="1408">
        <f>SUBTOTAL(9,E16:E22)</f>
        <v>4413</v>
      </c>
      <c r="F23" s="1408">
        <f>SUBTOTAL(9,F16:F22)</f>
        <v>4288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2963</v>
      </c>
      <c r="D31" s="1435">
        <f>SUBTOTAL(9,D9:D30)</f>
        <v>2904</v>
      </c>
      <c r="E31" s="1436">
        <f>SUBTOTAL(9,E9:E30)</f>
        <v>4425</v>
      </c>
      <c r="F31" s="1436">
        <f>SUBTOTAL(9,F9:F30)</f>
        <v>4326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fPIuIK+UxjrKRGUHTUI3dS7AwHe15A+QZ6ZBxIPcvwEhVHu9eulu9gFmrGNYunGrrzuOK88fl1HZvAKbDZ5Ilg==" saltValue="CDXJvGf9NaxAAMxuckko1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hpx0oWm1IxmZoe6BvDXl1PgCFWbplDa2IiJy8jUowMWuEotnBjHDOVZwnpcYnDlIzqf2EHdTirUdh7uKn0Ey4w==" saltValue="qF8m6eCBk/6QG2M7ko5KN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7414</v>
      </c>
      <c r="J9" s="194">
        <v>2460</v>
      </c>
      <c r="K9" s="194">
        <v>2413</v>
      </c>
      <c r="L9" s="194">
        <v>7481</v>
      </c>
      <c r="M9" s="194">
        <v>678</v>
      </c>
      <c r="N9" s="194">
        <v>826</v>
      </c>
      <c r="O9" s="194">
        <v>1565</v>
      </c>
      <c r="P9" s="194">
        <v>715</v>
      </c>
      <c r="Q9" s="194">
        <v>749</v>
      </c>
      <c r="R9" s="194">
        <v>8891</v>
      </c>
      <c r="S9" s="194">
        <v>7373</v>
      </c>
      <c r="T9" s="194">
        <v>2531</v>
      </c>
      <c r="U9" s="194">
        <v>2465</v>
      </c>
      <c r="V9" s="194">
        <v>7514</v>
      </c>
      <c r="W9" s="194">
        <v>607</v>
      </c>
      <c r="X9" s="201">
        <v>977</v>
      </c>
      <c r="Y9" s="204">
        <v>267</v>
      </c>
      <c r="Z9" s="194">
        <v>175</v>
      </c>
      <c r="AA9" s="194">
        <v>184</v>
      </c>
      <c r="AB9" s="194">
        <v>261</v>
      </c>
      <c r="AC9" s="194">
        <v>0</v>
      </c>
      <c r="AD9" s="194">
        <v>0</v>
      </c>
      <c r="AE9" s="194">
        <v>0</v>
      </c>
      <c r="AF9" s="201">
        <v>0</v>
      </c>
      <c r="AG9" s="204">
        <v>203</v>
      </c>
      <c r="AH9" s="194">
        <v>186</v>
      </c>
      <c r="AI9" s="194">
        <v>153</v>
      </c>
      <c r="AJ9" s="205">
        <v>236</v>
      </c>
      <c r="AK9" s="193">
        <v>0</v>
      </c>
      <c r="AL9" s="194">
        <v>0</v>
      </c>
      <c r="AM9" s="194">
        <v>0</v>
      </c>
      <c r="AN9" s="201">
        <v>0</v>
      </c>
      <c r="AO9" s="282">
        <v>8</v>
      </c>
      <c r="AP9" s="167">
        <v>8</v>
      </c>
      <c r="AQ9" s="167">
        <v>8</v>
      </c>
      <c r="AR9" s="206">
        <v>8</v>
      </c>
      <c r="AS9" s="379" t="s">
        <v>1072</v>
      </c>
      <c r="AT9" s="208"/>
      <c r="AU9" s="207"/>
      <c r="AV9" s="208"/>
      <c r="AW9" s="207"/>
      <c r="AX9" s="208"/>
      <c r="AY9" s="133">
        <f>IF(ISNUMBER(IF(J_V="SI",S9,S9+AG9)),IF(J_V="SI",S9,S9+AG9)," - ")</f>
        <v>7576</v>
      </c>
      <c r="AZ9" s="133">
        <f>IF(ISNUMBER(IF(J_V="SI",T9,T9+AH9)),IF(J_V="SI",T9,T9+AH9)," - ")</f>
        <v>2717</v>
      </c>
      <c r="BA9" s="134">
        <f>IF(ISNUMBER(IF(J_V="SI",U9,U9+AI9)),IF(J_V="SI",U9,U9+AI9)," - ")</f>
        <v>2618</v>
      </c>
      <c r="BB9" s="134">
        <f>IF(ISNUMBER(IF(J_V="SI",V9,V9+AJ9)),IF(J_V="SI",V9,V9+AJ9)," - ")</f>
        <v>7750</v>
      </c>
      <c r="BC9" s="135">
        <f>IF(ISNUMBER(X9),X9," - ")</f>
        <v>977</v>
      </c>
      <c r="BD9" s="136">
        <f>IF(ISNUMBER(BA9/AZ9),BA9/AZ9," - ")</f>
        <v>0.96356275303643724</v>
      </c>
      <c r="BE9" s="137">
        <f>IF(ISNUMBER(BB9/BA9),BB9/BA9, " - ")</f>
        <v>2.9602750190985487</v>
      </c>
      <c r="BF9" s="137">
        <f>IF(ISNUMBER(BC9/BA9),BC9/BA9, " - ")</f>
        <v>0.37318563789152026</v>
      </c>
      <c r="BG9" s="209">
        <f>IF(ISNUMBER((AY9+AZ9)/BA9),(AY9+AZ9)/BA9," - ")</f>
        <v>3.9316271963330789</v>
      </c>
      <c r="BH9" s="167">
        <v>8</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105</v>
      </c>
      <c r="J10" s="194">
        <v>12</v>
      </c>
      <c r="K10" s="194">
        <v>38</v>
      </c>
      <c r="L10" s="194">
        <v>79</v>
      </c>
      <c r="M10" s="194">
        <v>18</v>
      </c>
      <c r="N10" s="194">
        <v>9</v>
      </c>
      <c r="O10" s="194">
        <v>14</v>
      </c>
      <c r="P10" s="194">
        <v>8</v>
      </c>
      <c r="Q10" s="194">
        <v>3</v>
      </c>
      <c r="R10" s="194">
        <v>152</v>
      </c>
      <c r="S10" s="194">
        <v>82</v>
      </c>
      <c r="T10" s="194">
        <v>42</v>
      </c>
      <c r="U10" s="194">
        <v>19</v>
      </c>
      <c r="V10" s="194">
        <v>105</v>
      </c>
      <c r="W10" s="194">
        <v>3</v>
      </c>
      <c r="X10" s="201">
        <v>12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82</v>
      </c>
      <c r="AZ10" s="139">
        <f t="shared" si="0"/>
        <v>42</v>
      </c>
      <c r="BA10" s="139">
        <f t="shared" si="0"/>
        <v>19</v>
      </c>
      <c r="BB10" s="139">
        <f t="shared" si="0"/>
        <v>105</v>
      </c>
      <c r="BC10" s="135">
        <f t="shared" si="0"/>
        <v>3</v>
      </c>
      <c r="BD10" s="136">
        <f>IF(ISNUMBER(BA10/AZ10),BA10/AZ10," - ")</f>
        <v>0.45238095238095238</v>
      </c>
      <c r="BE10" s="137">
        <f>IF(ISNUMBER(BB10/BA10),BB10/BA10, " - ")</f>
        <v>5.5263157894736841</v>
      </c>
      <c r="BF10" s="137">
        <f>IF(ISNUMBER(BC10/BA10),BC10/BA10, " - ")</f>
        <v>0.15789473684210525</v>
      </c>
      <c r="BG10" s="209">
        <f>IF(ISNUMBER((AY10+AZ10)/BA10),(AY10+AZ10)/BA10," - ")</f>
        <v>6.5263157894736841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7519</v>
      </c>
      <c r="J14" s="197">
        <f t="shared" si="7"/>
        <v>2472</v>
      </c>
      <c r="K14" s="197">
        <f t="shared" si="7"/>
        <v>2451</v>
      </c>
      <c r="L14" s="197">
        <f t="shared" si="7"/>
        <v>7560</v>
      </c>
      <c r="M14" s="197">
        <f t="shared" si="7"/>
        <v>696</v>
      </c>
      <c r="N14" s="197">
        <f t="shared" si="7"/>
        <v>835</v>
      </c>
      <c r="O14" s="197">
        <f t="shared" si="7"/>
        <v>1579</v>
      </c>
      <c r="P14" s="197">
        <f t="shared" si="7"/>
        <v>723</v>
      </c>
      <c r="Q14" s="197">
        <f t="shared" si="7"/>
        <v>752</v>
      </c>
      <c r="R14" s="197">
        <f t="shared" si="7"/>
        <v>9043</v>
      </c>
      <c r="S14" s="197">
        <f t="shared" si="7"/>
        <v>7455</v>
      </c>
      <c r="T14" s="197">
        <f t="shared" si="7"/>
        <v>2573</v>
      </c>
      <c r="U14" s="197">
        <f t="shared" si="7"/>
        <v>2484</v>
      </c>
      <c r="V14" s="197">
        <f t="shared" si="7"/>
        <v>7619</v>
      </c>
      <c r="W14" s="197">
        <f t="shared" si="7"/>
        <v>610</v>
      </c>
      <c r="X14" s="197">
        <f t="shared" si="7"/>
        <v>989</v>
      </c>
      <c r="Y14" s="197">
        <f t="shared" si="7"/>
        <v>267</v>
      </c>
      <c r="Z14" s="197">
        <f t="shared" si="7"/>
        <v>175</v>
      </c>
      <c r="AA14" s="197">
        <f t="shared" si="7"/>
        <v>184</v>
      </c>
      <c r="AB14" s="197">
        <f t="shared" si="7"/>
        <v>261</v>
      </c>
      <c r="AC14" s="197">
        <f t="shared" si="7"/>
        <v>0</v>
      </c>
      <c r="AD14" s="197">
        <f t="shared" si="7"/>
        <v>0</v>
      </c>
      <c r="AE14" s="197">
        <f t="shared" si="7"/>
        <v>0</v>
      </c>
      <c r="AF14" s="197">
        <f>SUBTOTAL(9,AF9:AF13)</f>
        <v>0</v>
      </c>
      <c r="AG14" s="197">
        <f t="shared" ref="AG14:AT14" si="8">SUBTOTAL(9,AG8:AG13)</f>
        <v>203</v>
      </c>
      <c r="AH14" s="197">
        <f t="shared" si="8"/>
        <v>186</v>
      </c>
      <c r="AI14" s="197">
        <f t="shared" si="8"/>
        <v>153</v>
      </c>
      <c r="AJ14" s="197">
        <f t="shared" si="8"/>
        <v>236</v>
      </c>
      <c r="AK14" s="197">
        <f t="shared" si="8"/>
        <v>0</v>
      </c>
      <c r="AL14" s="197">
        <f t="shared" si="8"/>
        <v>0</v>
      </c>
      <c r="AM14" s="197">
        <f t="shared" si="8"/>
        <v>0</v>
      </c>
      <c r="AN14" s="197">
        <f t="shared" si="8"/>
        <v>0</v>
      </c>
      <c r="AO14" s="197">
        <f t="shared" si="8"/>
        <v>9</v>
      </c>
      <c r="AP14" s="197">
        <f t="shared" si="8"/>
        <v>9</v>
      </c>
      <c r="AQ14" s="197">
        <f t="shared" si="8"/>
        <v>9</v>
      </c>
      <c r="AR14" s="197">
        <f t="shared" si="8"/>
        <v>9</v>
      </c>
      <c r="AS14" s="197">
        <f t="shared" si="8"/>
        <v>0</v>
      </c>
      <c r="AT14" s="197">
        <f t="shared" si="8"/>
        <v>0</v>
      </c>
      <c r="AU14" s="217"/>
      <c r="AV14" s="142"/>
      <c r="AW14" s="217"/>
      <c r="AX14" s="142"/>
      <c r="AY14" s="197">
        <f>SUBTOTAL(9,AY8:AY13)</f>
        <v>7658</v>
      </c>
      <c r="AZ14" s="197">
        <f>SUBTOTAL(9,AZ8:AZ13)</f>
        <v>2759</v>
      </c>
      <c r="BA14" s="197">
        <f>SUBTOTAL(9,BA8:BA13)</f>
        <v>2637</v>
      </c>
      <c r="BB14" s="197">
        <f>SUBTOTAL(9,BB8:BB13)</f>
        <v>7855</v>
      </c>
      <c r="BC14" s="197">
        <f>SUBTOTAL(9,BC8:BC13)</f>
        <v>980</v>
      </c>
      <c r="BD14" s="219">
        <f>IF(ISNUMBER(BA14/AZ14),BA14/AZ14," - ")</f>
        <v>0.95578108010148599</v>
      </c>
      <c r="BE14" s="220">
        <f>IF(ISNUMBER(BB14/BA14),BB14/BA14, " - ")</f>
        <v>2.9787637466818353</v>
      </c>
      <c r="BF14" s="220">
        <f>IF(ISNUMBER(BC14/BA14),BC14/BA14, " - ")</f>
        <v>0.37163443306788019</v>
      </c>
      <c r="BG14" s="221">
        <f>IF(ISNUMBER((AY14+AZ14)/BA14),(AY14+AZ14)/BA14," - ")</f>
        <v>3.950322335987865</v>
      </c>
      <c r="BH14" s="153">
        <f>SUBTOTAL(9,BH8:BH13)</f>
        <v>9</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2675</v>
      </c>
      <c r="J16" s="196">
        <v>4161</v>
      </c>
      <c r="K16" s="196">
        <v>4012</v>
      </c>
      <c r="L16" s="196">
        <v>2876</v>
      </c>
      <c r="M16" s="196">
        <v>351</v>
      </c>
      <c r="N16" s="196">
        <v>2872</v>
      </c>
      <c r="O16" s="194">
        <v>94</v>
      </c>
      <c r="P16" s="196">
        <v>179</v>
      </c>
      <c r="Q16" s="196">
        <v>168</v>
      </c>
      <c r="R16" s="196">
        <v>248</v>
      </c>
      <c r="S16" s="196">
        <v>2735</v>
      </c>
      <c r="T16" s="196">
        <v>3450</v>
      </c>
      <c r="U16" s="196">
        <v>3579</v>
      </c>
      <c r="V16" s="196">
        <v>2663</v>
      </c>
      <c r="W16" s="196">
        <v>355</v>
      </c>
      <c r="X16" s="202">
        <v>2460</v>
      </c>
      <c r="Y16" s="215">
        <v>0</v>
      </c>
      <c r="Z16" s="196">
        <v>0</v>
      </c>
      <c r="AA16" s="196">
        <v>0</v>
      </c>
      <c r="AB16" s="196">
        <v>0</v>
      </c>
      <c r="AC16" s="196">
        <v>0</v>
      </c>
      <c r="AD16" s="196">
        <v>49</v>
      </c>
      <c r="AE16" s="196">
        <v>49</v>
      </c>
      <c r="AF16" s="202">
        <v>0</v>
      </c>
      <c r="AG16" s="215">
        <v>0</v>
      </c>
      <c r="AH16" s="196">
        <v>0</v>
      </c>
      <c r="AI16" s="196">
        <v>0</v>
      </c>
      <c r="AJ16" s="216">
        <v>0</v>
      </c>
      <c r="AK16" s="195">
        <v>0</v>
      </c>
      <c r="AL16" s="196">
        <v>31</v>
      </c>
      <c r="AM16" s="196">
        <v>31</v>
      </c>
      <c r="AN16" s="202">
        <v>0</v>
      </c>
      <c r="AO16" s="283">
        <v>5</v>
      </c>
      <c r="AP16" s="168">
        <v>5</v>
      </c>
      <c r="AQ16" s="168">
        <v>5</v>
      </c>
      <c r="AR16" s="168">
        <v>5</v>
      </c>
      <c r="AS16" s="381" t="s">
        <v>702</v>
      </c>
      <c r="AT16" s="216" t="s">
        <v>424</v>
      </c>
      <c r="AU16" s="215"/>
      <c r="AV16" s="216"/>
      <c r="AW16" s="215"/>
      <c r="AX16" s="216"/>
      <c r="AY16" s="138">
        <f t="shared" ref="AY16:BB17" si="10">IF(ISNUMBER(IF(D_I="SI",S16,S16+AK16)),IF(D_I="SI",S16,S16+AK16)," - ")</f>
        <v>2735</v>
      </c>
      <c r="AZ16" s="139">
        <f t="shared" si="10"/>
        <v>3450</v>
      </c>
      <c r="BA16" s="139">
        <f t="shared" si="10"/>
        <v>3579</v>
      </c>
      <c r="BB16" s="139">
        <f t="shared" si="10"/>
        <v>2663</v>
      </c>
      <c r="BC16" s="135">
        <f>IF(ISNUMBER(W16),W16," - ")</f>
        <v>355</v>
      </c>
      <c r="BD16" s="136">
        <f>IF(ISNUMBER(BA16/AZ16),BA16/AZ16," - ")</f>
        <v>1.037391304347826</v>
      </c>
      <c r="BE16" s="137">
        <f>IF(ISNUMBER(BB16/BA16),BB16/BA16, " - ")</f>
        <v>0.74406258731489239</v>
      </c>
      <c r="BF16" s="137">
        <f>IF(ISNUMBER(BC16/BA16),BC16/BA16, " - ")</f>
        <v>9.9189717798267671E-2</v>
      </c>
      <c r="BG16" s="209">
        <f t="shared" ref="BG16:BG22" si="11">IF(ISNUMBER((AY16+AZ16)/BA16),(AY16+AZ16)/BA16," - ")</f>
        <v>1.7281363509360157</v>
      </c>
      <c r="BH16" s="168">
        <v>5</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124</v>
      </c>
      <c r="J18" s="196">
        <v>252</v>
      </c>
      <c r="K18" s="196">
        <v>276</v>
      </c>
      <c r="L18" s="196">
        <v>107</v>
      </c>
      <c r="M18" s="196">
        <v>33</v>
      </c>
      <c r="N18" s="196">
        <v>134</v>
      </c>
      <c r="O18" s="196">
        <v>11</v>
      </c>
      <c r="P18" s="196">
        <v>16</v>
      </c>
      <c r="Q18" s="196">
        <v>22</v>
      </c>
      <c r="R18" s="196">
        <v>17</v>
      </c>
      <c r="S18" s="196">
        <v>140</v>
      </c>
      <c r="T18" s="196">
        <v>215</v>
      </c>
      <c r="U18" s="196">
        <v>274</v>
      </c>
      <c r="V18" s="196">
        <v>127</v>
      </c>
      <c r="W18" s="196">
        <v>14</v>
      </c>
      <c r="X18" s="202">
        <v>120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140</v>
      </c>
      <c r="AZ18" s="139">
        <f t="shared" si="15"/>
        <v>215</v>
      </c>
      <c r="BA18" s="139">
        <f t="shared" si="15"/>
        <v>274</v>
      </c>
      <c r="BB18" s="139">
        <f t="shared" si="15"/>
        <v>127</v>
      </c>
      <c r="BC18" s="135">
        <f>IF(ISNUMBER(W18),W18," - ")</f>
        <v>14</v>
      </c>
      <c r="BD18" s="136">
        <f>IF(ISNUMBER(BA18/AZ18),BA18/AZ18," - ")</f>
        <v>1.2744186046511627</v>
      </c>
      <c r="BE18" s="137">
        <f>IF(ISNUMBER(BB18/BA18),BB18/BA18, " - ")</f>
        <v>0.46350364963503649</v>
      </c>
      <c r="BF18" s="137">
        <f>IF(ISNUMBER(BC18/BA18),BC18/BA18, " - ")</f>
        <v>5.1094890510948905E-2</v>
      </c>
      <c r="BG18" s="209">
        <f>IF(ISNUMBER((AY18+AZ18)/BA18),(AY18+AZ18)/BA18," - ")</f>
        <v>1.2956204379562044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2799</v>
      </c>
      <c r="J23" s="197">
        <f t="shared" si="21"/>
        <v>4413</v>
      </c>
      <c r="K23" s="197">
        <f t="shared" si="21"/>
        <v>4288</v>
      </c>
      <c r="L23" s="197">
        <f t="shared" si="21"/>
        <v>2983</v>
      </c>
      <c r="M23" s="197">
        <f t="shared" si="21"/>
        <v>384</v>
      </c>
      <c r="N23" s="197">
        <f t="shared" si="21"/>
        <v>3006</v>
      </c>
      <c r="O23" s="197">
        <f t="shared" si="21"/>
        <v>105</v>
      </c>
      <c r="P23" s="197">
        <f t="shared" si="21"/>
        <v>195</v>
      </c>
      <c r="Q23" s="197">
        <f t="shared" si="21"/>
        <v>190</v>
      </c>
      <c r="R23" s="197">
        <f t="shared" si="21"/>
        <v>265</v>
      </c>
      <c r="S23" s="197">
        <f t="shared" si="21"/>
        <v>2875</v>
      </c>
      <c r="T23" s="197">
        <f t="shared" si="21"/>
        <v>3665</v>
      </c>
      <c r="U23" s="197">
        <f t="shared" si="21"/>
        <v>3853</v>
      </c>
      <c r="V23" s="197">
        <f t="shared" si="21"/>
        <v>2790</v>
      </c>
      <c r="W23" s="197">
        <f t="shared" si="21"/>
        <v>369</v>
      </c>
      <c r="X23" s="197">
        <f t="shared" si="21"/>
        <v>2580</v>
      </c>
      <c r="Y23" s="197">
        <f t="shared" si="21"/>
        <v>0</v>
      </c>
      <c r="Z23" s="197">
        <f t="shared" si="21"/>
        <v>0</v>
      </c>
      <c r="AA23" s="197">
        <f t="shared" si="21"/>
        <v>0</v>
      </c>
      <c r="AB23" s="197">
        <f t="shared" si="21"/>
        <v>0</v>
      </c>
      <c r="AC23" s="197">
        <f t="shared" si="21"/>
        <v>0</v>
      </c>
      <c r="AD23" s="197">
        <f t="shared" si="21"/>
        <v>49</v>
      </c>
      <c r="AE23" s="197">
        <f t="shared" si="21"/>
        <v>49</v>
      </c>
      <c r="AF23" s="197">
        <f t="shared" si="21"/>
        <v>0</v>
      </c>
      <c r="AG23" s="197">
        <f t="shared" si="21"/>
        <v>0</v>
      </c>
      <c r="AH23" s="197">
        <f t="shared" si="21"/>
        <v>0</v>
      </c>
      <c r="AI23" s="197">
        <f t="shared" si="21"/>
        <v>0</v>
      </c>
      <c r="AJ23" s="197">
        <f t="shared" si="21"/>
        <v>0</v>
      </c>
      <c r="AK23" s="197">
        <f t="shared" si="21"/>
        <v>0</v>
      </c>
      <c r="AL23" s="197">
        <f t="shared" si="21"/>
        <v>31</v>
      </c>
      <c r="AM23" s="197">
        <f t="shared" si="21"/>
        <v>31</v>
      </c>
      <c r="AN23" s="197">
        <f t="shared" si="21"/>
        <v>0</v>
      </c>
      <c r="AO23" s="197">
        <f t="shared" si="21"/>
        <v>6</v>
      </c>
      <c r="AP23" s="197">
        <f t="shared" si="21"/>
        <v>6</v>
      </c>
      <c r="AQ23" s="197">
        <f t="shared" si="21"/>
        <v>6</v>
      </c>
      <c r="AR23" s="197">
        <f t="shared" si="21"/>
        <v>6</v>
      </c>
      <c r="AS23" s="197">
        <f t="shared" si="21"/>
        <v>0</v>
      </c>
      <c r="AT23" s="197">
        <f t="shared" si="21"/>
        <v>0</v>
      </c>
      <c r="AU23" s="217"/>
      <c r="AV23" s="142"/>
      <c r="AW23" s="217"/>
      <c r="AX23" s="142"/>
      <c r="AY23" s="197">
        <f>SUBTOTAL(9,AY15:AY22)</f>
        <v>2875</v>
      </c>
      <c r="AZ23" s="197">
        <f>SUBTOTAL(9,AZ15:AZ22)</f>
        <v>3665</v>
      </c>
      <c r="BA23" s="197">
        <f>SUBTOTAL(9,BA15:BA22)</f>
        <v>3853</v>
      </c>
      <c r="BB23" s="197">
        <f>SUBTOTAL(9,BB15:BB22)</f>
        <v>2790</v>
      </c>
      <c r="BC23" s="197">
        <f>SUBTOTAL(9,BC15:BC22)</f>
        <v>369</v>
      </c>
      <c r="BD23" s="219">
        <f>IF(ISNUMBER(BA23/AZ23),BA23/AZ23," - ")</f>
        <v>1.0512960436562073</v>
      </c>
      <c r="BE23" s="220">
        <f>IF(ISNUMBER(BB23/BA23),BB23/BA23, " - ")</f>
        <v>0.72411108227355303</v>
      </c>
      <c r="BF23" s="220">
        <f>IF(ISNUMBER(BC23/BA23),BC23/BA23, " - ")</f>
        <v>9.5769530236179595E-2</v>
      </c>
      <c r="BG23" s="221">
        <f>IF(ISNUMBER((AY23+AZ23)/BA23),(AY23+AZ23)/BA23," - ")</f>
        <v>1.6973786659745653</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10318</v>
      </c>
      <c r="J31" s="144">
        <f t="shared" si="36"/>
        <v>6885</v>
      </c>
      <c r="K31" s="144">
        <f t="shared" si="36"/>
        <v>6739</v>
      </c>
      <c r="L31" s="144">
        <f t="shared" si="36"/>
        <v>10543</v>
      </c>
      <c r="M31" s="144">
        <f t="shared" si="36"/>
        <v>1080</v>
      </c>
      <c r="N31" s="144">
        <f t="shared" si="36"/>
        <v>3841</v>
      </c>
      <c r="O31" s="144">
        <f t="shared" si="36"/>
        <v>1684</v>
      </c>
      <c r="P31" s="144">
        <f t="shared" si="36"/>
        <v>918</v>
      </c>
      <c r="Q31" s="144">
        <f t="shared" si="36"/>
        <v>942</v>
      </c>
      <c r="R31" s="144">
        <f t="shared" si="36"/>
        <v>9308</v>
      </c>
      <c r="S31" s="144">
        <f t="shared" si="36"/>
        <v>10330</v>
      </c>
      <c r="T31" s="144">
        <f t="shared" si="36"/>
        <v>6238</v>
      </c>
      <c r="U31" s="144">
        <f t="shared" si="36"/>
        <v>6337</v>
      </c>
      <c r="V31" s="144">
        <f t="shared" si="36"/>
        <v>10409</v>
      </c>
      <c r="W31" s="144">
        <f t="shared" si="36"/>
        <v>979</v>
      </c>
      <c r="X31" s="144">
        <f t="shared" si="36"/>
        <v>3569</v>
      </c>
      <c r="Y31" s="144">
        <f t="shared" si="36"/>
        <v>267</v>
      </c>
      <c r="Z31" s="144">
        <f t="shared" si="36"/>
        <v>175</v>
      </c>
      <c r="AA31" s="144">
        <f t="shared" si="36"/>
        <v>184</v>
      </c>
      <c r="AB31" s="144">
        <f t="shared" si="36"/>
        <v>261</v>
      </c>
      <c r="AC31" s="144">
        <f t="shared" si="36"/>
        <v>0</v>
      </c>
      <c r="AD31" s="144">
        <f t="shared" si="36"/>
        <v>49</v>
      </c>
      <c r="AE31" s="144">
        <f t="shared" si="36"/>
        <v>49</v>
      </c>
      <c r="AF31" s="144">
        <f t="shared" si="36"/>
        <v>0</v>
      </c>
      <c r="AG31" s="144">
        <f t="shared" si="36"/>
        <v>203</v>
      </c>
      <c r="AH31" s="144">
        <f t="shared" si="36"/>
        <v>186</v>
      </c>
      <c r="AI31" s="144">
        <f t="shared" si="36"/>
        <v>153</v>
      </c>
      <c r="AJ31" s="144">
        <f t="shared" si="36"/>
        <v>236</v>
      </c>
      <c r="AK31" s="144">
        <f t="shared" si="36"/>
        <v>0</v>
      </c>
      <c r="AL31" s="144">
        <f t="shared" si="36"/>
        <v>31</v>
      </c>
      <c r="AM31" s="144">
        <f t="shared" si="36"/>
        <v>31</v>
      </c>
      <c r="AN31" s="224">
        <f t="shared" si="36"/>
        <v>0</v>
      </c>
      <c r="AO31" s="225">
        <v>14</v>
      </c>
      <c r="AP31" s="225">
        <v>14</v>
      </c>
      <c r="AQ31" s="225">
        <v>14</v>
      </c>
      <c r="AR31" s="225">
        <v>14</v>
      </c>
      <c r="AS31" s="166">
        <f t="shared" si="36"/>
        <v>0</v>
      </c>
      <c r="AT31" s="166">
        <f t="shared" si="36"/>
        <v>0</v>
      </c>
      <c r="AU31" s="225"/>
      <c r="AV31" s="226"/>
      <c r="AW31" s="225"/>
      <c r="AX31" s="226"/>
      <c r="AY31" s="143">
        <f>SUBTOTAL(9,AY9:AY30)</f>
        <v>10533</v>
      </c>
      <c r="AZ31" s="144">
        <f>SUBTOTAL(9,AZ9:AZ30)</f>
        <v>6424</v>
      </c>
      <c r="BA31" s="144">
        <f>SUBTOTAL(9,BA9:BA30)</f>
        <v>6490</v>
      </c>
      <c r="BB31" s="144">
        <f>SUBTOTAL(9,BB9:BB30)</f>
        <v>10645</v>
      </c>
      <c r="BC31" s="145">
        <f>SUBTOTAL(9,BC9:BC30)</f>
        <v>1349</v>
      </c>
      <c r="BD31" s="227">
        <f>IF(ISNUMBER(BA31/AZ31),BA31/AZ31," - ")</f>
        <v>1.0102739726027397</v>
      </c>
      <c r="BE31" s="224">
        <f>IF(ISNUMBER(BB31/BA31),BB31/BA31, " - ")</f>
        <v>1.6402157164869029</v>
      </c>
      <c r="BF31" s="224">
        <f>IF(ISNUMBER(BC31/BA31),BC31/BA31, " - ")</f>
        <v>0.20785824345146378</v>
      </c>
      <c r="BG31" s="145">
        <f>IF(ISNUMBER((AY31+AZ31)/BA31),(AY31+AZ31)/BA31," - ")</f>
        <v>2.6127889060092451</v>
      </c>
      <c r="BH31" s="225">
        <f>SUBTOTAL(9,BH9:BH30)</f>
        <v>15</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WgNM0w64SgBndeKLjHioc9C1nD+X89tdTE8arIYh80EAEvqj/Y980fg98yjOGarqyUPP42ZPGD3DJVuSg28uA==" saltValue="Ff8CDQblJZyJ+KWpNe0A0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WbFHl1kOaGAogyx7wbJ0OeQ83GzpRhD+aPQlf0kUFSYHsViKhXX4sfnVn7MQCyy7NyzPyha1wWKfkdD7WIzEw==" saltValue="W7IPkzj4rdDTdQBjtx1sP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MALAGA  Resumenes por Partidos Judiciales  MARBELLA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8</v>
      </c>
      <c r="B9" s="745" t="s">
        <v>321</v>
      </c>
      <c r="C9" s="765" t="str">
        <f>Datos!A9</f>
        <v xml:space="preserve">Jdos. 1ª Instancia   </v>
      </c>
      <c r="D9" s="593"/>
      <c r="E9" s="764">
        <f>IF(ISNUMBER(Datos!AQ9),Datos!AQ9," - ")</f>
        <v>8</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175</v>
      </c>
      <c r="O9" s="549"/>
      <c r="P9" s="549"/>
      <c r="Q9" s="547">
        <f>IF(ISNUMBER(Datos!P9),Datos!P9,0)</f>
        <v>715</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749</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261</v>
      </c>
      <c r="AI9" s="549" t="str">
        <f>IF(ISNUMBER(Datos!CD9),Datos!CD9,"-")</f>
        <v>-</v>
      </c>
      <c r="AJ9" s="549" t="str">
        <f>IF(ISNUMBER(Datos!EN9),Datos!EN9," - ")</f>
        <v xml:space="preserve"> - </v>
      </c>
      <c r="AK9" s="549"/>
      <c r="AL9" s="550"/>
      <c r="AM9" s="766">
        <f>IF(ISNUMBER(Datos!R9),Datos!R9," - ")</f>
        <v>8891</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678</v>
      </c>
      <c r="BD9" s="693">
        <f>IF(ISNUMBER(Datos!N9),Datos!N9," - ")</f>
        <v>826</v>
      </c>
      <c r="BE9" s="693" t="str">
        <f>IF(ISNUMBER(Datos!BW9),Datos!BW9," - ")</f>
        <v xml:space="preserve"> - </v>
      </c>
      <c r="BF9" s="762" t="str">
        <f>IF(ISNUMBER(Datos!BX9),Datos!BX9," - ")</f>
        <v xml:space="preserve"> - </v>
      </c>
      <c r="BG9" s="763">
        <f>IF(ISNUMBER(IF(J_V="SI",Datos!K9/Datos!J9,(Datos!K9+Datos!AA9)/(Datos!J9+Datos!Z9))),IF(J_V="SI",Datos!K9/Datos!J9,(Datos!K9+Datos!AA9)/(Datos!J9+Datos!Z9))," - ")</f>
        <v>0.98557874762808351</v>
      </c>
      <c r="BH9" s="764">
        <f>IF(ISNUMBER(((IF(J_V="SI",Datos!L9/Datos!K9,(Datos!L9+Datos!AB9)/(Datos!K9+Datos!AA9)))*11)/factor_trimestre),((IF(J_V="SI",Datos!L9/Datos!K9,(Datos!L9+Datos!AB9)/(Datos!K9+Datos!AA9)))*11)/factor_trimestre," - ")</f>
        <v>8.9433962264150946</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-3.8095238095238095E-3</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105</v>
      </c>
      <c r="G10" s="543">
        <f>IF(ISNUMBER(Datos!I10),Datos!I10," - ")</f>
        <v>105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8</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38</v>
      </c>
      <c r="AC10" s="547">
        <f>IF(ISNUMBER(Datos!Q10),Datos!Q10," - ")</f>
        <v>3</v>
      </c>
      <c r="AD10" s="549"/>
      <c r="AE10" s="563"/>
      <c r="AF10" s="551">
        <f>IF(ISNUMBER(Datos!L10),Datos!L10,"-")</f>
        <v>79</v>
      </c>
      <c r="AG10" s="549"/>
      <c r="AH10" s="549"/>
      <c r="AI10" s="549"/>
      <c r="AJ10" s="549"/>
      <c r="AK10" s="549"/>
      <c r="AL10" s="550"/>
      <c r="AM10" s="766">
        <f>IF(ISNUMBER(Datos!R10),Datos!R10," - ")</f>
        <v>152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18</v>
      </c>
      <c r="BD10" s="693">
        <f>IF(ISNUMBER(Datos!N10),Datos!N10," - ")</f>
        <v>9</v>
      </c>
      <c r="BE10" s="693" t="str">
        <f>IF(ISNUMBER(Datos!BW10),Datos!BW10," - ")</f>
        <v xml:space="preserve"> - </v>
      </c>
      <c r="BF10" s="762" t="str">
        <f>IF(ISNUMBER(Datos!BX10),Datos!BX10," - ")</f>
        <v xml:space="preserve"> - </v>
      </c>
      <c r="BG10" s="763">
        <f>IF(ISNUMBER(Datos!K10/Datos!J10),Datos!K10/Datos!J10," - ")</f>
        <v>3.1666666666666665</v>
      </c>
      <c r="BH10" s="764">
        <f>IF(ISNUMBER(((Datos!L10/Datos!K10)*11)/factor_trimestre),((Datos!L10/Datos!K10)*11)/factor_trimestre," - ")</f>
        <v>6.2368421052631584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3.4013605442176874E-2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9</v>
      </c>
      <c r="F14" s="1197">
        <f t="shared" si="1"/>
        <v>105</v>
      </c>
      <c r="G14" s="1197">
        <f t="shared" si="1"/>
        <v>105</v>
      </c>
      <c r="H14" s="1198">
        <f t="shared" si="1"/>
        <v>0</v>
      </c>
      <c r="I14" s="1197">
        <f t="shared" si="1"/>
        <v>0</v>
      </c>
      <c r="J14" s="1164">
        <f t="shared" si="1"/>
        <v>0</v>
      </c>
      <c r="K14" s="1164">
        <f t="shared" si="1"/>
        <v>0</v>
      </c>
      <c r="L14" s="1198">
        <f t="shared" si="1"/>
        <v>0</v>
      </c>
      <c r="M14" s="1198">
        <f t="shared" si="1"/>
        <v>0</v>
      </c>
      <c r="N14" s="1198">
        <f t="shared" si="1"/>
        <v>175</v>
      </c>
      <c r="O14" s="1199">
        <f t="shared" si="1"/>
        <v>0</v>
      </c>
      <c r="P14" s="1199">
        <f t="shared" si="1"/>
        <v>0</v>
      </c>
      <c r="Q14" s="1198">
        <f t="shared" si="1"/>
        <v>723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38</v>
      </c>
      <c r="AC14" s="1198">
        <f t="shared" si="2"/>
        <v>752</v>
      </c>
      <c r="AD14" s="1198">
        <f t="shared" si="2"/>
        <v>0</v>
      </c>
      <c r="AE14" s="1198">
        <f t="shared" si="2"/>
        <v>0</v>
      </c>
      <c r="AF14" s="1198">
        <f t="shared" si="2"/>
        <v>79</v>
      </c>
      <c r="AG14" s="1198">
        <f t="shared" si="2"/>
        <v>0</v>
      </c>
      <c r="AH14" s="1198">
        <f t="shared" si="2"/>
        <v>261</v>
      </c>
      <c r="AI14" s="1198">
        <f t="shared" si="2"/>
        <v>0</v>
      </c>
      <c r="AJ14" s="1198">
        <f t="shared" si="2"/>
        <v>0</v>
      </c>
      <c r="AK14" s="1198">
        <f t="shared" si="2"/>
        <v>0</v>
      </c>
      <c r="AL14" s="1198">
        <f t="shared" si="2"/>
        <v>0</v>
      </c>
      <c r="AM14" s="1198">
        <f t="shared" si="2"/>
        <v>9043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696</v>
      </c>
      <c r="BD14" s="1198">
        <f t="shared" si="2"/>
        <v>835</v>
      </c>
      <c r="BE14" s="1198">
        <f t="shared" si="2"/>
        <v>0</v>
      </c>
      <c r="BF14" s="1198">
        <f t="shared" si="2"/>
        <v>0</v>
      </c>
      <c r="BG14" s="1198">
        <f>IF(ISNUMBER(Datos!K14/Datos!J14),Datos!K14/Datos!J14," - ")</f>
        <v>0.99150485436893199</v>
      </c>
      <c r="BH14" s="1202">
        <f>IF(ISNUMBER(((Datos!L14/Datos!K14)*11)/factor_trimestre),((Datos!L14/Datos!K14)*11)/factor_trimestre," - ")</f>
        <v>9.2533659730722153</v>
      </c>
      <c r="BI14" s="1198">
        <f>IF(ISNUMBER('Resol  Asuntos'!D14/NºAsuntos!G14),'Resol  Asuntos'!D14/NºAsuntos!G14," - ")</f>
        <v>0.26413662239089186</v>
      </c>
      <c r="BJ14" s="1198" t="str">
        <f>IF(ISNUMBER(Datos!CI14/Datos!CJ14),Datos!CI14/Datos!CJ14," - ")</f>
        <v xml:space="preserve"> - </v>
      </c>
      <c r="BK14" s="1198">
        <f>SUBTOTAL(9,BK8:BK13)</f>
        <v>0</v>
      </c>
      <c r="BL14" s="1198">
        <f>IF(ISNUMBER((I14-AB14+L14)/(F14)),(I14-AB14+L14)/(F14)," - ")</f>
        <v>-0.3619047619047619</v>
      </c>
      <c r="BM14" s="1203">
        <f>SUBTOTAL(9,BM9:BM13)</f>
        <v>3.0204081632653063E-2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5</v>
      </c>
      <c r="B16" s="737" t="s">
        <v>511</v>
      </c>
      <c r="C16" s="749" t="str">
        <f>Datos!A16</f>
        <v xml:space="preserve">Jdos. Instrucción                               </v>
      </c>
      <c r="D16" s="750"/>
      <c r="E16" s="1555">
        <f>IF(ISNUMBER(Datos!AQ16),Datos!AQ16," - ")</f>
        <v>5</v>
      </c>
      <c r="F16" s="740">
        <f>IF(ISNUMBER(AF16+AB16-Datos!J16-L16),AF16+AB16-Datos!J16-L16," - ")</f>
        <v>2727</v>
      </c>
      <c r="G16" s="743">
        <f>IF(ISNUMBER(IF(D_I="SI",Datos!I16,Datos!I16+Datos!AC16)),IF(D_I="SI",Datos!I16,Datos!I16+Datos!AC16)," - ")</f>
        <v>2675</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179</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4012</v>
      </c>
      <c r="AC16" s="240">
        <f>IF(ISNUMBER(Datos!Q16),Datos!Q16," - ")</f>
        <v>168</v>
      </c>
      <c r="AD16" s="374"/>
      <c r="AE16" s="562"/>
      <c r="AF16" s="741">
        <f>IF(ISNUMBER(IF(D_I="SI",Datos!L16,Datos!L16+Datos!AF16)),IF(D_I="SI",Datos!L16,Datos!L16+Datos!AF16)," - ")</f>
        <v>2876</v>
      </c>
      <c r="AG16" s="374"/>
      <c r="AH16" s="374"/>
      <c r="AI16" s="374"/>
      <c r="AJ16" s="549"/>
      <c r="AK16" s="374"/>
      <c r="AL16" s="545"/>
      <c r="AM16" s="375">
        <f>IF(ISNUMBER(Datos!R16),Datos!R16," - ")</f>
        <v>248</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351</v>
      </c>
      <c r="BD16" s="243">
        <f>IF(ISNUMBER(Datos!N16),Datos!N16," - ")</f>
        <v>2872</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0.96419130016822874</v>
      </c>
      <c r="BH16" s="764">
        <f>IF(ISNUMBER(((IF(D_I="SI",Datos!L16/Datos!K16,(Datos!L16+Datos!AF16)/(Datos!K16+Datos!AE16)))*11)/factor_trimestre),((IF(D_I="SI",Datos!L16/Datos!K16,(Datos!L16+Datos!AF16)/(Datos!K16+Datos!AE16)))*11)/factor_trimestre," - ")</f>
        <v>2.1505483549351943</v>
      </c>
      <c r="BI16" s="266">
        <f>IF(ISNUMBER('Resol  Asuntos'!D16/NºAsuntos!G16),'Resol  Asuntos'!D16/NºAsuntos!G16," - ")</f>
        <v>8.7487537387836489E-2</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124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16</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276</v>
      </c>
      <c r="AC18" s="547">
        <f>IF(ISNUMBER(Datos!Q18),Datos!Q18," - ")</f>
        <v>22</v>
      </c>
      <c r="AD18" s="549"/>
      <c r="AE18" s="562"/>
      <c r="AF18" s="551">
        <f>IF(ISNUMBER(Datos!L18),Datos!L18,"-")</f>
        <v>107</v>
      </c>
      <c r="AG18" s="549"/>
      <c r="AH18" s="549"/>
      <c r="AI18" s="549"/>
      <c r="AJ18" s="549"/>
      <c r="AK18" s="549"/>
      <c r="AL18" s="550"/>
      <c r="AM18" s="766">
        <f>IF(ISNUMBER(Datos!R18),Datos!R18," - ")</f>
        <v>17</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33</v>
      </c>
      <c r="BD18" s="693">
        <f>IF(ISNUMBER(Datos!N18),Datos!N18," - ")</f>
        <v>134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1.0952380952380953</v>
      </c>
      <c r="BH18" s="764">
        <f>IF(ISNUMBER(((IF(D_I="SI",Datos!L18/Datos!K18,(Datos!L18+Datos!AF18)/(Datos!K18+Datos!AE18)))*11)/factor_trimestre),((IF(D_I="SI",Datos!L18/Datos!K18,(Datos!L18+Datos!AF18)/(Datos!K18+Datos!AE18)))*11)/factor_trimestre," - ")</f>
        <v>1.1630434782608696</v>
      </c>
      <c r="BI18" s="763">
        <f>IF(ISNUMBER('Resol  Asuntos'!D18/NºAsuntos!G18),'Resol  Asuntos'!D18/NºAsuntos!G18," - ")</f>
        <v>0.11956521739130435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6</v>
      </c>
      <c r="F23" s="1197">
        <f>SUBTOTAL(9,F16:F22)</f>
        <v>2727</v>
      </c>
      <c r="G23" s="1197">
        <f>SUBTOTAL(9,G16:G22)</f>
        <v>2799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195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4288</v>
      </c>
      <c r="AC23" s="1198">
        <f t="shared" si="5"/>
        <v>190</v>
      </c>
      <c r="AD23" s="1198">
        <f t="shared" si="5"/>
        <v>0</v>
      </c>
      <c r="AE23" s="1198">
        <f t="shared" si="5"/>
        <v>0</v>
      </c>
      <c r="AF23" s="1198">
        <f t="shared" si="5"/>
        <v>2983</v>
      </c>
      <c r="AG23" s="1198">
        <f t="shared" si="5"/>
        <v>0</v>
      </c>
      <c r="AH23" s="1198">
        <f t="shared" si="5"/>
        <v>0</v>
      </c>
      <c r="AI23" s="1198">
        <f t="shared" si="5"/>
        <v>0</v>
      </c>
      <c r="AJ23" s="1198">
        <f t="shared" si="5"/>
        <v>0</v>
      </c>
      <c r="AK23" s="1198">
        <f t="shared" si="5"/>
        <v>0</v>
      </c>
      <c r="AL23" s="1198">
        <f t="shared" si="5"/>
        <v>0</v>
      </c>
      <c r="AM23" s="1198">
        <f t="shared" si="5"/>
        <v>265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384</v>
      </c>
      <c r="BD23" s="1198">
        <f t="shared" si="5"/>
        <v>3006</v>
      </c>
      <c r="BE23" s="1198">
        <f t="shared" si="5"/>
        <v>0</v>
      </c>
      <c r="BF23" s="1198">
        <f t="shared" si="5"/>
        <v>0</v>
      </c>
      <c r="BG23" s="1198">
        <f>IF(ISNUMBER(Datos!K23/Datos!J23),Datos!K23/Datos!J23," - ")</f>
        <v>0.97167459777928844</v>
      </c>
      <c r="BH23" s="1202">
        <f>IF(ISNUMBER(((Datos!L23/Datos!K23)*11)/factor_trimestre),((Datos!L23/Datos!K23)*11)/factor_trimestre," - ")</f>
        <v>2.0869869402985075</v>
      </c>
      <c r="BI23" s="1198">
        <f>SUBTOTAL(9,BI16:BI22)</f>
        <v>0.20705275477914084</v>
      </c>
      <c r="BJ23" s="1198">
        <f>SUBTOTAL(9,BJ16:BJ22)</f>
        <v>0</v>
      </c>
      <c r="BK23" s="1198">
        <f>SUBTOTAL(9,BK16:BK22)</f>
        <v>0</v>
      </c>
      <c r="BL23" s="1198">
        <f>IF(ISNUMBER((I23-AB23+L23)/(F23)),(I23-AB23+L23)/(F23)," - ")</f>
        <v>-1.5724239090575725</v>
      </c>
      <c r="BM23" s="1205">
        <f>IF(ISNUMBER((Datos!P23-Datos!Q23)/(Datos!R23-Datos!P23+Datos!Q23)),(Datos!P23-Datos!Q23)/(Datos!R23-Datos!P23+Datos!Q23)," - ")</f>
        <v>1.9230769230769232E-2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15</v>
      </c>
      <c r="F31" s="1117">
        <f t="shared" si="18"/>
        <v>2832</v>
      </c>
      <c r="G31" s="1117">
        <f t="shared" si="18"/>
        <v>2904</v>
      </c>
      <c r="H31" s="1119">
        <f t="shared" si="18"/>
        <v>0</v>
      </c>
      <c r="I31" s="1117">
        <f t="shared" si="18"/>
        <v>0</v>
      </c>
      <c r="J31" s="1119">
        <f t="shared" si="18"/>
        <v>0</v>
      </c>
      <c r="K31" s="1119">
        <f t="shared" si="18"/>
        <v>0</v>
      </c>
      <c r="L31" s="1180">
        <f t="shared" si="18"/>
        <v>0</v>
      </c>
      <c r="M31" s="1180">
        <f t="shared" si="18"/>
        <v>0</v>
      </c>
      <c r="N31" s="1180">
        <f t="shared" si="18"/>
        <v>175</v>
      </c>
      <c r="O31" s="1180">
        <f t="shared" si="18"/>
        <v>0</v>
      </c>
      <c r="P31" s="1180">
        <f t="shared" si="18"/>
        <v>0</v>
      </c>
      <c r="Q31" s="1119">
        <f t="shared" si="18"/>
        <v>918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4326</v>
      </c>
      <c r="AC31" s="1118">
        <f t="shared" si="19"/>
        <v>942</v>
      </c>
      <c r="AD31" s="1118">
        <f t="shared" si="19"/>
        <v>0</v>
      </c>
      <c r="AE31" s="1118">
        <f t="shared" si="19"/>
        <v>0</v>
      </c>
      <c r="AF31" s="1125">
        <f t="shared" si="19"/>
        <v>3062</v>
      </c>
      <c r="AG31" s="1125">
        <f t="shared" si="19"/>
        <v>0</v>
      </c>
      <c r="AH31" s="1125">
        <f t="shared" si="19"/>
        <v>261</v>
      </c>
      <c r="AI31" s="1125">
        <f t="shared" si="19"/>
        <v>0</v>
      </c>
      <c r="AJ31" s="1118">
        <f t="shared" si="19"/>
        <v>0</v>
      </c>
      <c r="AK31" s="1125">
        <f t="shared" si="19"/>
        <v>0</v>
      </c>
      <c r="AL31" s="1125">
        <f t="shared" si="19"/>
        <v>0</v>
      </c>
      <c r="AM31" s="1125">
        <f t="shared" si="19"/>
        <v>9308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1080</v>
      </c>
      <c r="BD31" s="1117">
        <f t="shared" si="19"/>
        <v>3841</v>
      </c>
      <c r="BE31" s="1117">
        <f t="shared" si="19"/>
        <v>0</v>
      </c>
      <c r="BF31" s="1127">
        <f t="shared" si="19"/>
        <v>0</v>
      </c>
      <c r="BG31" s="1223">
        <f>IF(ISNUMBER(Datos!K31/Datos!J31),Datos!K31/Datos!J31," - ")</f>
        <v>0.97879448075526509</v>
      </c>
      <c r="BH31" s="1223">
        <f>IF(ISNUMBER(((Datos!L31/Datos!K31)*11)/factor_trimestre),((Datos!L31/Datos!K31)*11)/factor_trimestre," - ")</f>
        <v>4.6934263243804724</v>
      </c>
      <c r="BI31" s="1103">
        <f>IF(ISNUMBER(Datos!J31/Datos!I31),Datos!J31/Datos!I31," - ")</f>
        <v>0.66728048071331658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-1.527542372881356</v>
      </c>
      <c r="BM31" s="1188">
        <f>IF(ISNUMBER((Datos!P31-Datos!Q31+R31)/(Datos!R31-Datos!P31+Datos!Q31-R31)),(Datos!P31-Datos!Q31+R31)/(Datos!R31-Datos!P31+Datos!Q31-R31)," - ")</f>
        <v>-2.5717959708529792E-3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829.71428571428567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2.9873025638838686</v>
      </c>
      <c r="F33" s="673">
        <f>IF(ISNUMBER(STDEV(F8:F30)),STDEV(F8:F30),"-")</f>
        <v>1381.9039040396406</v>
      </c>
      <c r="G33" s="674">
        <f>IF(ISNUMBER(STDEV(G8:G30)),STDEV(G8:G30),"-")</f>
        <v>1304.381809426176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1994.5041154800024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300.70631139749247</v>
      </c>
      <c r="BD33" s="673"/>
      <c r="BE33" s="673">
        <f>IF(ISNUMBER(STDEV(BE8:BE30)),STDEV(BE8:BE30),"-")</f>
        <v>0</v>
      </c>
      <c r="BF33" s="678">
        <f>IF(ISNUMBER(STDEV(BF8:BF30)),STDEV(BF8:BF30),"-")</f>
        <v>0</v>
      </c>
      <c r="BG33" s="1052">
        <f>IF(ISNUMBER(STDEV(BG8:BG30)),STDEV(BG8:BG30),"-")</f>
        <v>0.88516073424686281</v>
      </c>
      <c r="BH33" s="1058">
        <f>IF(ISNUMBER(STDEV(BH8:BH30)),STDEV(BH8:BH30),"-")</f>
        <v>3.6467505224265668</v>
      </c>
      <c r="BI33" s="273">
        <f>IF(ISNUMBER(STDEV(BI8:BI30)),STDEV(BI8:BI30),"-")</f>
        <v>8.0799776340403182E-2</v>
      </c>
      <c r="BJ33" s="244" t="str">
        <f>IF(ISNUMBER(BL33/BM33),BL33/BM33," - ")</f>
        <v xml:space="preserve"> - </v>
      </c>
      <c r="BK33" s="709"/>
      <c r="BL33" s="681">
        <f>IF(ISNUMBER(STDEV(BL8:BL30)),STDEV(BL8:BL30),"-")</f>
        <v>0.85596629770790833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FtLedik1wHsLV54XuPnGeoorlGv6Lp3gKVaOjM+PbZZn0yFftXw5bo1FfApErfk6kPOPmwecdbgBeXd/c7pYCw==" saltValue="mxDr60k5X0L8tVVTvVpxf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MALAGA  Resumenes por Partidos Judiciales  MARBELLA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8</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715</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749</v>
      </c>
      <c r="AA9" s="551" t="str">
        <f>IF(ISNUMBER(IF(J_V="SI",Datos!L9,Datos!L9+Datos!AB9)-IF(Monitorios="SI",Datos!CD9,0)),
                          IF(J_V="SI",Datos!L9,Datos!L9+Datos!AB9)-IF(Monitorios="SI",Datos!CD9,0),
                          " - ")</f>
        <v xml:space="preserve"> - </v>
      </c>
      <c r="AB9" s="549"/>
      <c r="AC9" s="549"/>
      <c r="AD9" s="563"/>
      <c r="AE9" s="563">
        <f>IF(ISNUMBER(Datos!R9),Datos!R9," - ")</f>
        <v>8891</v>
      </c>
      <c r="AF9" s="693" t="str">
        <f>IF(ISNUMBER(Datos!BV9),Datos!BV9," - ")</f>
        <v xml:space="preserve"> - </v>
      </c>
      <c r="AG9" s="552" t="str">
        <f>IF(ISNUMBER(Datos!DV9),Datos!DV9," - ")</f>
        <v xml:space="preserve"> - </v>
      </c>
      <c r="AH9" s="553"/>
      <c r="AI9" s="554"/>
      <c r="AJ9" s="552">
        <f>IF(ISNUMBER(Datos!M9),Datos!M9," - ")</f>
        <v>678</v>
      </c>
      <c r="AK9" s="693">
        <f>IF(ISNUMBER(Datos!N9),Datos!N9," - ")</f>
        <v>826</v>
      </c>
      <c r="AL9" s="693" t="str">
        <f>IF(ISNUMBER(Datos!BW9),Datos!BW9," - ")</f>
        <v xml:space="preserve"> - </v>
      </c>
      <c r="AM9" s="762" t="str">
        <f>IF(ISNUMBER(Datos!BX9),Datos!BX9," - ")</f>
        <v xml:space="preserve"> - </v>
      </c>
      <c r="AN9" s="763"/>
      <c r="AO9" s="764">
        <f>IF(ISNUMBER(((NºAsuntos!I9/NºAsuntos!G9)*11)/factor_trimestre),((NºAsuntos!I9/NºAsuntos!G9)*11)/factor_trimestre," - ")</f>
        <v>8.9433962264150946</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-3.8095238095238095E-3</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105</v>
      </c>
      <c r="G10" s="552">
        <f>IF(ISNUMBER(Datos!I10),Datos!I10," - ")</f>
        <v>105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8</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38</v>
      </c>
      <c r="Z10" s="805">
        <f>IF(ISNUMBER(Datos!Q10),Datos!Q10," - ")</f>
        <v>3</v>
      </c>
      <c r="AA10" s="551">
        <f>IF(ISNUMBER(Datos!L10),Datos!L10,"-")</f>
        <v>79</v>
      </c>
      <c r="AB10" s="549"/>
      <c r="AC10" s="549"/>
      <c r="AD10" s="563"/>
      <c r="AE10" s="563">
        <f>IF(ISNUMBER(Datos!R10),Datos!R10," - ")</f>
        <v>152</v>
      </c>
      <c r="AF10" s="693" t="str">
        <f>IF(ISNUMBER(Datos!BV10),Datos!BV10," - ")</f>
        <v xml:space="preserve"> - </v>
      </c>
      <c r="AG10" s="552" t="str">
        <f>IF(ISNUMBER(Datos!DV10),Datos!DV10," - ")</f>
        <v xml:space="preserve"> - </v>
      </c>
      <c r="AH10" s="553"/>
      <c r="AI10" s="554"/>
      <c r="AJ10" s="552">
        <f>IF(ISNUMBER(Datos!M10),Datos!M10," - ")</f>
        <v>18</v>
      </c>
      <c r="AK10" s="693">
        <f>IF(ISNUMBER(Datos!N10),Datos!N10," - ")</f>
        <v>9</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6.2368421052631584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3.4013605442176874E-2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9</v>
      </c>
      <c r="F14" s="1197">
        <f>SUBTOTAL(9,F8:F13)</f>
        <v>105</v>
      </c>
      <c r="G14" s="1197">
        <f>SUBTOTAL(9,G8:G13)</f>
        <v>105</v>
      </c>
      <c r="H14" s="1211"/>
      <c r="I14" s="1197">
        <f t="shared" ref="I14:N14" si="1">SUBTOTAL(9,I8:I13)</f>
        <v>0</v>
      </c>
      <c r="J14" s="1164">
        <f t="shared" si="1"/>
        <v>0</v>
      </c>
      <c r="K14" s="1211">
        <f t="shared" si="1"/>
        <v>0</v>
      </c>
      <c r="L14" s="1211">
        <f t="shared" si="1"/>
        <v>0</v>
      </c>
      <c r="M14" s="1211">
        <f t="shared" si="1"/>
        <v>0</v>
      </c>
      <c r="N14" s="1211">
        <f t="shared" si="1"/>
        <v>723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38</v>
      </c>
      <c r="Z14" s="1210">
        <f t="shared" si="3"/>
        <v>752</v>
      </c>
      <c r="AA14" s="1199">
        <f t="shared" si="3"/>
        <v>79</v>
      </c>
      <c r="AB14" s="1199">
        <f t="shared" si="3"/>
        <v>0</v>
      </c>
      <c r="AC14" s="1199">
        <f t="shared" si="3"/>
        <v>0</v>
      </c>
      <c r="AD14" s="1199">
        <f t="shared" si="3"/>
        <v>0</v>
      </c>
      <c r="AE14" s="1199">
        <f t="shared" si="3"/>
        <v>9043</v>
      </c>
      <c r="AF14" s="1211">
        <f t="shared" si="3"/>
        <v>0</v>
      </c>
      <c r="AG14" s="1211">
        <f t="shared" si="3"/>
        <v>0</v>
      </c>
      <c r="AH14" s="1211">
        <f t="shared" si="3"/>
        <v>0</v>
      </c>
      <c r="AI14" s="1211">
        <f t="shared" si="3"/>
        <v>0</v>
      </c>
      <c r="AJ14" s="1211">
        <f t="shared" si="3"/>
        <v>696</v>
      </c>
      <c r="AK14" s="1211">
        <f t="shared" si="3"/>
        <v>835</v>
      </c>
      <c r="AL14" s="1211">
        <f t="shared" si="3"/>
        <v>0</v>
      </c>
      <c r="AM14" s="1211">
        <f t="shared" si="3"/>
        <v>0</v>
      </c>
      <c r="AN14" s="1211">
        <f t="shared" si="3"/>
        <v>0</v>
      </c>
      <c r="AO14" s="1203">
        <f>IF(ISNUMBER(((NºAsuntos!I14/NºAsuntos!G14)*11)/factor_trimestre),((NºAsuntos!I14/NºAsuntos!G14)*11)/factor_trimestre," - ")</f>
        <v>8.9043643263757115</v>
      </c>
      <c r="AP14" s="1213" t="str">
        <f>IF(ISNUMBER(Datos!CI14/Datos!CJ14),Datos!CI14/Datos!CJ14," - ")</f>
        <v xml:space="preserve"> - </v>
      </c>
      <c r="AQ14" s="1236">
        <f t="shared" ref="AQ14:AV14" si="4">SUBTOTAL(9,AQ9:AQ13)</f>
        <v>0</v>
      </c>
      <c r="AR14" s="1236">
        <f t="shared" si="4"/>
        <v>3.0204081632653063E-2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5</v>
      </c>
      <c r="B16" s="746" t="s">
        <v>511</v>
      </c>
      <c r="C16" s="765" t="str">
        <f>Datos!A16</f>
        <v xml:space="preserve">Jdos. Instrucción                               </v>
      </c>
      <c r="D16" s="593"/>
      <c r="E16" s="1558">
        <f>IF(ISNUMBER(Datos!AQ16),Datos!AQ16," - ")</f>
        <v>5</v>
      </c>
      <c r="F16" s="543">
        <f>IF(ISNUMBER(AA16+Y16-Datos!J16-K16),AA16+Y16-Datos!J16-K16," - ")</f>
        <v>2727</v>
      </c>
      <c r="G16" s="552">
        <f>IF(ISNUMBER(IF(D_I="SI",Datos!I16,Datos!I16+Datos!AC16)),IF(D_I="SI",Datos!I16,Datos!I16+Datos!AC16)," - ")</f>
        <v>2675</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179</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4012</v>
      </c>
      <c r="Z16" s="805">
        <f>IF(ISNUMBER(Datos!Q16),Datos!Q16," - ")</f>
        <v>168</v>
      </c>
      <c r="AA16" s="551">
        <f>IF(ISNUMBER(IF(D_I="SI",Datos!L16,Datos!L16+Datos!AF16)),IF(D_I="SI",Datos!L16,Datos!L16+Datos!AF16)," - ")</f>
        <v>2876</v>
      </c>
      <c r="AB16" s="549"/>
      <c r="AC16" s="549"/>
      <c r="AD16" s="563"/>
      <c r="AE16" s="563">
        <f>IF(ISNUMBER(Datos!R16),Datos!R16," - ")</f>
        <v>248</v>
      </c>
      <c r="AF16" s="693" t="str">
        <f>IF(ISNUMBER(Datos!BV16),Datos!BV16," - ")</f>
        <v xml:space="preserve"> - </v>
      </c>
      <c r="AG16" s="552"/>
      <c r="AH16" s="553"/>
      <c r="AI16" s="554"/>
      <c r="AJ16" s="552">
        <f>IF(ISNUMBER(Datos!M16),Datos!M16," - ")</f>
        <v>351</v>
      </c>
      <c r="AK16" s="693">
        <f>IF(ISNUMBER(Datos!N16),Datos!N16," - ")</f>
        <v>2872</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2.1505483549351943</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124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16</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276</v>
      </c>
      <c r="Z18" s="805">
        <f>IF(ISNUMBER(Datos!Q18),Datos!Q18," - ")</f>
        <v>22</v>
      </c>
      <c r="AA18" s="551">
        <f>IF(ISNUMBER(Datos!L18),Datos!L18,"-")</f>
        <v>107</v>
      </c>
      <c r="AB18" s="549"/>
      <c r="AC18" s="549"/>
      <c r="AD18" s="563"/>
      <c r="AE18" s="563">
        <f>IF(ISNUMBER(Datos!R18),Datos!R18," - ")</f>
        <v>17</v>
      </c>
      <c r="AF18" s="693" t="str">
        <f>IF(ISNUMBER(Datos!BV18),Datos!BV18," - ")</f>
        <v xml:space="preserve"> - </v>
      </c>
      <c r="AG18" s="552" t="str">
        <f>IF(ISNUMBER(Datos!DV18),Datos!DV18," - ")</f>
        <v xml:space="preserve"> - </v>
      </c>
      <c r="AH18" s="553"/>
      <c r="AI18" s="554"/>
      <c r="AJ18" s="552">
        <f>IF(ISNUMBER(Datos!M18),Datos!M18," - ")</f>
        <v>33</v>
      </c>
      <c r="AK18" s="693">
        <f>IF(ISNUMBER(Datos!N18),Datos!N18," - ")</f>
        <v>134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1.1630434782608696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6</v>
      </c>
      <c r="F23" s="1197">
        <f>SUBTOTAL(9,F16:F22)</f>
        <v>2727</v>
      </c>
      <c r="G23" s="1197">
        <f>SUBTOTAL(9,G16:G22)</f>
        <v>2799</v>
      </c>
      <c r="H23" s="1240">
        <f>SUBTOTAL(9,H16:H22)</f>
        <v>0</v>
      </c>
      <c r="I23" s="1217">
        <f>SUBTOTAL(9,I16:I22)</f>
        <v>0</v>
      </c>
      <c r="J23" s="1164">
        <f>SUBTOTAL(9,J15:J22)</f>
        <v>0</v>
      </c>
      <c r="K23" s="1240">
        <f t="shared" ref="K23:S23" si="5">SUBTOTAL(9,K16:K22)</f>
        <v>0</v>
      </c>
      <c r="L23" s="1240">
        <f t="shared" si="5"/>
        <v>0</v>
      </c>
      <c r="M23" s="1240">
        <f t="shared" si="5"/>
        <v>0</v>
      </c>
      <c r="N23" s="1240">
        <f t="shared" si="5"/>
        <v>195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4288</v>
      </c>
      <c r="Z23" s="1240">
        <f t="shared" si="6"/>
        <v>190</v>
      </c>
      <c r="AA23" s="1240">
        <f t="shared" si="6"/>
        <v>2983</v>
      </c>
      <c r="AB23" s="1240">
        <f t="shared" si="6"/>
        <v>0</v>
      </c>
      <c r="AC23" s="1240">
        <f t="shared" si="6"/>
        <v>0</v>
      </c>
      <c r="AD23" s="1240">
        <f t="shared" si="6"/>
        <v>0</v>
      </c>
      <c r="AE23" s="1240">
        <f t="shared" si="6"/>
        <v>265</v>
      </c>
      <c r="AF23" s="1240">
        <f t="shared" si="6"/>
        <v>0</v>
      </c>
      <c r="AG23" s="1240">
        <f t="shared" si="6"/>
        <v>0</v>
      </c>
      <c r="AH23" s="1240">
        <f t="shared" si="6"/>
        <v>0</v>
      </c>
      <c r="AI23" s="1240">
        <f t="shared" si="6"/>
        <v>0</v>
      </c>
      <c r="AJ23" s="1240">
        <f t="shared" si="6"/>
        <v>384</v>
      </c>
      <c r="AK23" s="1240">
        <f t="shared" si="6"/>
        <v>3006</v>
      </c>
      <c r="AL23" s="1240">
        <f t="shared" si="6"/>
        <v>0</v>
      </c>
      <c r="AM23" s="1240">
        <f t="shared" si="6"/>
        <v>0</v>
      </c>
      <c r="AN23" s="1240">
        <f t="shared" si="6"/>
        <v>0</v>
      </c>
      <c r="AO23" s="1242">
        <f>IF(ISNUMBER(((NºAsuntos!I23/NºAsuntos!G23)*11)/factor_trimestre),((NºAsuntos!I23/NºAsuntos!G23)*11)/factor_trimestre," - ")</f>
        <v>2.0869869402985075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15</v>
      </c>
      <c r="F31" s="1117">
        <f t="shared" si="12"/>
        <v>2832</v>
      </c>
      <c r="G31" s="1117">
        <f t="shared" si="12"/>
        <v>2904</v>
      </c>
      <c r="H31" s="1118">
        <f t="shared" si="12"/>
        <v>0</v>
      </c>
      <c r="I31" s="1117">
        <f t="shared" si="12"/>
        <v>0</v>
      </c>
      <c r="J31" s="1119">
        <f t="shared" si="12"/>
        <v>0</v>
      </c>
      <c r="K31" s="1117">
        <f t="shared" si="12"/>
        <v>0</v>
      </c>
      <c r="L31" s="1120">
        <f t="shared" si="12"/>
        <v>0</v>
      </c>
      <c r="M31" s="1117">
        <f t="shared" si="12"/>
        <v>0</v>
      </c>
      <c r="N31" s="1118">
        <f t="shared" si="12"/>
        <v>918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4326</v>
      </c>
      <c r="Z31" s="1124">
        <f t="shared" si="13"/>
        <v>942</v>
      </c>
      <c r="AA31" s="1125">
        <f t="shared" si="13"/>
        <v>3062</v>
      </c>
      <c r="AB31" s="1125">
        <f t="shared" si="13"/>
        <v>0</v>
      </c>
      <c r="AC31" s="1125">
        <f t="shared" si="13"/>
        <v>0</v>
      </c>
      <c r="AD31" s="1126">
        <f t="shared" si="13"/>
        <v>0</v>
      </c>
      <c r="AE31" s="1126">
        <f t="shared" si="13"/>
        <v>9308</v>
      </c>
      <c r="AF31" s="1127">
        <f t="shared" si="13"/>
        <v>0</v>
      </c>
      <c r="AG31" s="1128">
        <f t="shared" si="13"/>
        <v>0</v>
      </c>
      <c r="AH31" s="1129">
        <f t="shared" si="13"/>
        <v>0</v>
      </c>
      <c r="AI31" s="1127">
        <f t="shared" si="13"/>
        <v>0</v>
      </c>
      <c r="AJ31" s="1117">
        <f t="shared" si="13"/>
        <v>1080</v>
      </c>
      <c r="AK31" s="1117">
        <f t="shared" si="13"/>
        <v>3841</v>
      </c>
      <c r="AL31" s="1117">
        <f t="shared" si="13"/>
        <v>0</v>
      </c>
      <c r="AM31" s="1130">
        <f t="shared" si="13"/>
        <v>0</v>
      </c>
      <c r="AN31" s="1120">
        <f>IF(ISNUMBER(Datos!K31/Datos!J31),Datos!K31/Datos!J31," - ")</f>
        <v>0.97879448075526509</v>
      </c>
      <c r="AO31" s="1120">
        <f>IF(ISNUMBER(FIND("06",Criterios!A8,1)),(IF(ISNUMBER(((Datos!R31/Datos!Q31)*11)/factor_trimestre),((Datos!R31/Datos!Q31)*11)/factor_trimestre," - ")),(IF(ISNUMBER(((Datos!L31/Datos!K31)*11)/factor_trimestre),((Datos!L31/Datos!K31)*11)/factor_trimestre," - ")))</f>
        <v>4.6934263243804724</v>
      </c>
      <c r="AP31" s="1131" t="str">
        <f>IF(ISNUMBER(Datos!CI31/Datos!CJ31),Datos!CI31/Datos!CJ31," - ")</f>
        <v xml:space="preserve"> - </v>
      </c>
      <c r="AQ31" s="1131">
        <f>IF(OR(ISNUMBER(FIND("01",Criterios!A8,1)),ISNUMBER(FIND("02",Criterios!A8,1)),ISNUMBER(FIND("03",Criterios!A8,1)),ISNUMBER(FIND("04",Criterios!A8,1))),(J31-Y31+K31)/(F31-K31),(I31-Y31+K31)/(F31-K31))</f>
        <v>-1.527542372881356</v>
      </c>
      <c r="AR31" s="1131">
        <f>IF(ISNUMBER((Datos!P31-Datos!Q31+O31)/(Datos!R31-Datos!P31+Datos!Q31-O31)),(Datos!P31-Datos!Q31+O31)/(Datos!R31-Datos!P31+Datos!Q31-O31)," - ")</f>
        <v>-2.5717959708529792E-3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829.71428571428567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1381.9039040396406</v>
      </c>
      <c r="G33" s="674">
        <f>IF(ISNUMBER(STDEV(G8:G30)),STDEV(G8:G30),"-")</f>
        <v>1304.381809426176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300.70631139749247</v>
      </c>
      <c r="AK33" s="276"/>
      <c r="AL33" s="276">
        <f>IF(ISNUMBER(STDEV(AL8:AL30)),STDEV(AL8:AL30),"-")</f>
        <v>0</v>
      </c>
      <c r="AM33" s="278">
        <f>IF(ISNUMBER(STDEV(AM8:AM30)),STDEV(AM8:AM30),"-")</f>
        <v>0</v>
      </c>
      <c r="AN33" s="660">
        <f>IF(ISNUMBER(STDEV(AN8:AN30)),STDEV(AN8:AN30),"-")</f>
        <v>0</v>
      </c>
      <c r="AO33" s="661">
        <f>IF(ISNUMBER(STDEV(AO8:AO30)),STDEV(AO8:AO30),"-")</f>
        <v>3.5667154378166623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S9OD6bOfx3uGUD2h6GMV1De4ucdKd1q9zhJr3dQbwgs+PbGajdDTQ48L3H6lZqbvvHoPa/tIazY9ku/PbL2og==" saltValue="WNk8l9y3G9BpOWkPHVq4E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JE56Tr6O+O2eSdGM8QuT8Z1sy7snBuhWmKZf7ncL1Fo6WEnfE3HVezOOgBQgJwmR44m1pRqxCFjuen0YJRIl9w==" saltValue="fjXHu8BtvkuR7eh/ITdcb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sd9LM/sWrZyf9DS77ue2KakbMT4zd7d0l5tq485HqCViPinJAZkjPGsVExcGgiJM+P7J8V93H/hqcTW3rftg==" saltValue="4pbsA9TjqXyLj8yk+BwRI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MALAGA  Resumenes por Partidos Judiciales  MARBELLA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0.26413662239089186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0.1867727968523101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Q/tvKfaSm6+PNgimu4LT8fh+jos3f0msvB+AnQyu6I0phtfCmIRSvivO2EHD42bfCW8PGfKvkaPZpTpDlEeBpw==" saltValue="fHJXqb52oUrZmrOZyn0Lz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AKgZDru2MBn4rHrEuDwSkDFC+m+FciLt3IWy4PqUhXFpg0O2QLAJ5wHEGSb0suGHEgyKRX32Fq2Kum/hijR/JQ==" saltValue="yHVPUksDJo+ngwriU9nXk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MALAGA</v>
      </c>
      <c r="D3" s="436"/>
      <c r="E3" s="436"/>
      <c r="F3" s="436"/>
    </row>
    <row r="4" spans="1:14" ht="13.5" thickBot="1">
      <c r="A4" s="436"/>
      <c r="B4" s="439" t="str">
        <f>Criterios!A11 &amp;"  "&amp;Criterios!B11</f>
        <v>Resumenes por Partidos Judiciales  MARBELLA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8</v>
      </c>
      <c r="C9" s="451">
        <f>IF(ISNUMBER(IF(J_V="SI",Datos!I9,Datos!I9+Datos!Y9)),IF(J_V="SI",Datos!I9,Datos!I9+Datos!Y9)," - ")</f>
        <v>7681</v>
      </c>
      <c r="D9" s="452">
        <f>IF(ISNUMBER(C9/Datos!BH9),C9/Datos!BH9," - ")</f>
        <v>960.125</v>
      </c>
      <c r="E9" s="451">
        <f>IF(ISNUMBER(IF(J_V="SI",Datos!J9,Datos!J9+Datos!Z9)),IF(J_V="SI",Datos!J9,Datos!J9+Datos!Z9)," - ")</f>
        <v>2635</v>
      </c>
      <c r="F9" s="452">
        <f>IF(ISNUMBER(E9/B9),E9/B9," - ")</f>
        <v>329.375</v>
      </c>
      <c r="G9" s="451">
        <f>IF(ISNUMBER(IF(J_V="SI",Datos!K9,Datos!K9+Datos!AA9)),IF(J_V="SI",Datos!K9,Datos!K9+Datos!AA9)," - ")</f>
        <v>2597</v>
      </c>
      <c r="H9" s="452">
        <f>IF(ISNUMBER(G9/B9),G9/B9," - ")</f>
        <v>324.625</v>
      </c>
      <c r="I9" s="451">
        <f>IF(ISNUMBER(IF(J_V="SI",Datos!L9,Datos!L9+Datos!AB9)),IF(J_V="SI",Datos!L9,Datos!L9+Datos!AB9)," - ")</f>
        <v>7742</v>
      </c>
      <c r="J9" s="452">
        <f>IF(ISNUMBER(I9/B9),I9/B9," - ")</f>
        <v>967.75</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105</v>
      </c>
      <c r="D10" s="452">
        <f>IF(ISNUMBER(C10/Datos!BH10),C10/Datos!BH10," - ")</f>
        <v>105</v>
      </c>
      <c r="E10" s="451">
        <f>IF(ISNUMBER(Datos!J10),Datos!J10," - ")</f>
        <v>12</v>
      </c>
      <c r="F10" s="452">
        <f>IF(ISNUMBER(E10/B10),E10/B10," - ")</f>
        <v>12</v>
      </c>
      <c r="G10" s="451">
        <f>IF(ISNUMBER(Datos!K10),Datos!K10," - ")</f>
        <v>38</v>
      </c>
      <c r="H10" s="452">
        <f>IF(ISNUMBER(G10/B10),G10/B10," - ")</f>
        <v>38</v>
      </c>
      <c r="I10" s="451">
        <f>IF(ISNUMBER(Datos!L10),Datos!L10," - ")</f>
        <v>79</v>
      </c>
      <c r="J10" s="452">
        <f>IF(ISNUMBER(I10/B10),I10/B10," - ")</f>
        <v>79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9</v>
      </c>
      <c r="C14" s="1146">
        <f>SUBTOTAL(9,C8:C13)</f>
        <v>7786</v>
      </c>
      <c r="D14" s="1147" t="str">
        <f>IF(ISNUMBER(C14/Datos!BI14),C14/Datos!BI14," - ")</f>
        <v xml:space="preserve"> - </v>
      </c>
      <c r="E14" s="1146">
        <f>SUBTOTAL(9,E8:E13)</f>
        <v>2647</v>
      </c>
      <c r="F14" s="1147">
        <f>IF(ISNUMBER(E14/B14),E14/B14," - ")</f>
        <v>294.11111111111109</v>
      </c>
      <c r="G14" s="1146">
        <f>SUBTOTAL(9,G8:G13)</f>
        <v>2635</v>
      </c>
      <c r="H14" s="1147">
        <f>IF(ISNUMBER(G14/B14),G14/B14," - ")</f>
        <v>292.77777777777777</v>
      </c>
      <c r="I14" s="1146">
        <f>SUBTOTAL(9,I8:I13)</f>
        <v>7821</v>
      </c>
      <c r="J14" s="1147">
        <f>IF(ISNUMBER(I14/B14),I14/B14," - ")</f>
        <v>869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5</v>
      </c>
      <c r="C16" s="451">
        <f>IF(ISNUMBER(IF(D_I="SI",Datos!I16,Datos!I16+Datos!AC16)),IF(D_I="SI",Datos!I16,Datos!I16+Datos!AC16)," - ")</f>
        <v>2675</v>
      </c>
      <c r="D16" s="452">
        <f>IF(ISNUMBER(C16/Datos!BH16),C16/Datos!BH16," - ")</f>
        <v>535</v>
      </c>
      <c r="E16" s="451">
        <f>IF(ISNUMBER(IF(D_I="SI",Datos!J16,Datos!J16+Datos!AD16)),IF(D_I="SI",Datos!J16,Datos!J16+Datos!AD16)," - ")</f>
        <v>4161</v>
      </c>
      <c r="F16" s="452">
        <f>IF(ISNUMBER(E16/B16),E16/B16," - ")</f>
        <v>832.2</v>
      </c>
      <c r="G16" s="451">
        <f>IF(ISNUMBER(IF(D_I="SI",Datos!K16,Datos!K16+Datos!AE16)),IF(D_I="SI",Datos!K16,Datos!K16+Datos!AE16)," - ")</f>
        <v>4012</v>
      </c>
      <c r="H16" s="452">
        <f>IF(ISNUMBER(G16/B16),G16/B16," - ")</f>
        <v>802.4</v>
      </c>
      <c r="I16" s="451">
        <f>IF(ISNUMBER(IF(D_I="SI",Datos!L16,Datos!L16+Datos!AF16)),IF(D_I="SI",Datos!L16,Datos!L16+Datos!AF16)," - ")</f>
        <v>2876</v>
      </c>
      <c r="J16" s="452">
        <f>IF(ISNUMBER(I16/B16),I16/B16," - ")</f>
        <v>575.20000000000005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124</v>
      </c>
      <c r="D18" s="452">
        <f>IF(ISNUMBER(C18/Datos!BH18),C18/Datos!BH18," - ")</f>
        <v>124</v>
      </c>
      <c r="E18" s="451">
        <f>IF(ISNUMBER(IF(D_I="SI",Datos!J18,Datos!J18+Datos!AD18)),IF(D_I="SI",Datos!J18,Datos!J18+Datos!AD18)," - ")</f>
        <v>252</v>
      </c>
      <c r="F18" s="452">
        <f>IF(ISNUMBER(E18/B18),E18/B18," - ")</f>
        <v>252</v>
      </c>
      <c r="G18" s="451">
        <f>IF(ISNUMBER(IF(D_I="SI",Datos!K18,Datos!K18+Datos!AE18)),IF(D_I="SI",Datos!K18,Datos!K18+Datos!AE18)," - ")</f>
        <v>276</v>
      </c>
      <c r="H18" s="452">
        <f>IF(ISNUMBER(G18/B18),G18/B18," - ")</f>
        <v>276</v>
      </c>
      <c r="I18" s="451">
        <f>IF(ISNUMBER(IF(D_I="SI",Datos!L18,Datos!L18+Datos!AF18)),IF(D_I="SI",Datos!L18,Datos!L18+Datos!AF18)," - ")</f>
        <v>107</v>
      </c>
      <c r="J18" s="452">
        <f>IF(ISNUMBER(I18/B18),I18/B18," - ")</f>
        <v>107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2799</v>
      </c>
      <c r="D23" s="1147" t="str">
        <f>IF(ISNUMBER(C23/Datos!BI23),C23/Datos!BI23," - ")</f>
        <v xml:space="preserve"> - </v>
      </c>
      <c r="E23" s="1146">
        <f>SUBTOTAL(9,E15:E22)</f>
        <v>4413</v>
      </c>
      <c r="F23" s="1147">
        <f>IF(ISNUMBER(E23/B23),E23/B23," - ")</f>
        <v>735.5</v>
      </c>
      <c r="G23" s="1146">
        <f>SUBTOTAL(9,G15:G22)</f>
        <v>4288</v>
      </c>
      <c r="H23" s="1147">
        <f>IF(ISNUMBER(G23/B23),G23/B23," - ")</f>
        <v>714.66666666666663</v>
      </c>
      <c r="I23" s="1146">
        <f>SUBTOTAL(9,I15:I22)</f>
        <v>2983</v>
      </c>
      <c r="J23" s="1147">
        <f>IF(ISNUMBER(I23/B23),I23/B23," - ")</f>
        <v>497.16666666666669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14</v>
      </c>
      <c r="C31" s="1084">
        <f>SUBTOTAL(9,C9:C30)</f>
        <v>10585</v>
      </c>
      <c r="D31" s="1085" t="str">
        <f>IF(ISNUMBER(C31/Datos!BI31),C31/Datos!BI31," - ")</f>
        <v xml:space="preserve"> - </v>
      </c>
      <c r="E31" s="1084">
        <f>SUBTOTAL(9,E9:E30)</f>
        <v>7060</v>
      </c>
      <c r="F31" s="1085">
        <f>IF(ISNUMBER(E31/B31),E31/B31," - ")</f>
        <v>504.28571428571428</v>
      </c>
      <c r="G31" s="1084">
        <f>SUBTOTAL(9,G9:G30)</f>
        <v>6923</v>
      </c>
      <c r="H31" s="1085">
        <f>IF(ISNUMBER(G31/B31),G31/B31," - ")</f>
        <v>494.5</v>
      </c>
      <c r="I31" s="1084">
        <f>SUBTOTAL(9,I9:I30)</f>
        <v>10804</v>
      </c>
      <c r="J31" s="1085">
        <f>IF(ISNUMBER(I31/B31),I31/B31," - ")</f>
        <v>771.71428571428567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dQDGiRgxEzncPFqzjapnKTVnXd6gIw617FN5yfS0hRgE+BGyS+VGdh4sHV/rmpoUFwnornqGiloCTbfDtpkVcg==" saltValue="fuBr6r3dzNNrVLpx0FQ6D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MALAGA  Resumenes por Partidos Judiciales  MARBELLA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8</v>
      </c>
      <c r="B9" s="745" t="s">
        <v>321</v>
      </c>
      <c r="C9" s="765" t="str">
        <f>Datos!A9</f>
        <v xml:space="preserve">Jdos. 1ª Instancia   </v>
      </c>
      <c r="D9" s="593"/>
      <c r="E9" s="904">
        <f>IF(ISNUMBER(Datos!AQ9),Datos!AQ9," - ")</f>
        <v>8</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105</v>
      </c>
      <c r="G10" s="906">
        <f>IF(ISNUMBER(Datos!I10),Datos!I10," - ")</f>
        <v>105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8</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38</v>
      </c>
      <c r="AC10" s="905" t="str">
        <f>IF(ISNUMBER(IF(D_I="SI",DatosP!K18,DatosP!K18+DatosP!AE18)),IF(D_I="SI",DatosP!K18,DatosP!K18+DatosP!AE18)," - ")</f>
        <v xml:space="preserve"> - </v>
      </c>
      <c r="AD10" s="907"/>
      <c r="AE10" s="907"/>
      <c r="AF10" s="910">
        <f>IF(ISNUMBER(Datos!L10),Datos!L10,"-")</f>
        <v>79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18</v>
      </c>
      <c r="AM10" s="914">
        <f>IF(ISNUMBER(Datos!N10+DatosP!N18),Datos!N10+DatosP!N18," - ")</f>
        <v>9</v>
      </c>
      <c r="AN10" s="914">
        <f>IF(ISNUMBER(Datos!BW10+DatosP!BW18),Datos!BW10+DatosP!BW18," - ")</f>
        <v>0</v>
      </c>
      <c r="AO10" s="915">
        <f>IF(ISNUMBER(Datos!BX10+DatosP!BX18),Datos!BX10+DatosP!BX18," - ")</f>
        <v>0</v>
      </c>
      <c r="AP10" s="917">
        <f>IF(ISNUMBER(((Datos!L10/Datos!K10)*11)/factor_trimestre),((Datos!L10/Datos!K10)*11)/factor_trimestre," - ")</f>
        <v>6.2368421052631584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9</v>
      </c>
      <c r="F14" s="1256">
        <f t="shared" si="0"/>
        <v>105</v>
      </c>
      <c r="G14" s="1256">
        <f t="shared" si="0"/>
        <v>105</v>
      </c>
      <c r="H14" s="1256">
        <f t="shared" si="0"/>
        <v>0</v>
      </c>
      <c r="I14" s="1258">
        <f t="shared" si="0"/>
        <v>0</v>
      </c>
      <c r="J14" s="1257">
        <f t="shared" si="0"/>
        <v>0</v>
      </c>
      <c r="K14" s="1257">
        <f t="shared" si="0"/>
        <v>0</v>
      </c>
      <c r="L14" s="1259">
        <f t="shared" si="0"/>
        <v>0</v>
      </c>
      <c r="M14" s="1259">
        <f t="shared" si="0"/>
        <v>0</v>
      </c>
      <c r="N14" s="1257">
        <f t="shared" si="0"/>
        <v>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38</v>
      </c>
      <c r="AC14" s="1257">
        <f t="shared" si="1"/>
        <v>0</v>
      </c>
      <c r="AD14" s="1257">
        <f t="shared" si="1"/>
        <v>0</v>
      </c>
      <c r="AE14" s="1257">
        <f t="shared" si="1"/>
        <v>0</v>
      </c>
      <c r="AF14" s="1257">
        <f t="shared" si="1"/>
        <v>79</v>
      </c>
      <c r="AG14" s="1257">
        <f t="shared" si="1"/>
        <v>0</v>
      </c>
      <c r="AH14" s="1257">
        <f t="shared" si="1"/>
        <v>0</v>
      </c>
      <c r="AI14" s="1257">
        <f t="shared" si="1"/>
        <v>0</v>
      </c>
      <c r="AJ14" s="1257">
        <f t="shared" si="1"/>
        <v>0</v>
      </c>
      <c r="AK14" s="1257">
        <f t="shared" si="1"/>
        <v>0</v>
      </c>
      <c r="AL14" s="1257">
        <f t="shared" si="1"/>
        <v>18</v>
      </c>
      <c r="AM14" s="1257">
        <f t="shared" si="1"/>
        <v>9</v>
      </c>
      <c r="AN14" s="1257">
        <f t="shared" si="1"/>
        <v>0</v>
      </c>
      <c r="AO14" s="1257">
        <f t="shared" si="1"/>
        <v>0</v>
      </c>
      <c r="AP14" s="1262">
        <f>IF(ISNUMBER(((Datos!L14/Datos!K14)*11)/factor_trimestre),((Datos!L14/Datos!K14)*11)/factor_trimestre," - ")</f>
        <v>9.2533659730722153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-0.3619047619047619</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5</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2.0869869402985075</v>
      </c>
      <c r="AQ23" s="1262">
        <f>IF(ISNUMBER(((Datos!M23/Datos!L23)*11)/factor_trimestre),((Datos!M23/Datos!L23)*11)/factor_trimestre," - ")</f>
        <v>0.38618840093865237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1.9230769230769232E-2</v>
      </c>
      <c r="AW23" s="1265">
        <f>IF(ISNUMBER((Datos!Q23-Datos!R23)/(Datos!S23-Datos!Q23+Datos!R23)),(Datos!Q23-Datos!R23)/(Datos!S23-Datos!Q23+Datos!R23)," - ")</f>
        <v>-2.5423728813559324E-2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9</v>
      </c>
      <c r="F31" s="1278">
        <f t="shared" si="8"/>
        <v>105</v>
      </c>
      <c r="G31" s="1278">
        <f t="shared" si="8"/>
        <v>105</v>
      </c>
      <c r="H31" s="1278">
        <f t="shared" si="8"/>
        <v>0</v>
      </c>
      <c r="I31" s="1279">
        <f t="shared" si="8"/>
        <v>0</v>
      </c>
      <c r="J31" s="1280">
        <f t="shared" si="8"/>
        <v>0</v>
      </c>
      <c r="K31" s="1280">
        <f t="shared" si="8"/>
        <v>0</v>
      </c>
      <c r="L31" s="1280">
        <f t="shared" si="8"/>
        <v>0</v>
      </c>
      <c r="M31" s="1280">
        <f t="shared" si="8"/>
        <v>0</v>
      </c>
      <c r="N31" s="1279">
        <f t="shared" si="8"/>
        <v>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38</v>
      </c>
      <c r="AC31" s="1284">
        <f t="shared" si="9"/>
        <v>0</v>
      </c>
      <c r="AD31" s="1284">
        <f t="shared" si="9"/>
        <v>0</v>
      </c>
      <c r="AE31" s="1284">
        <f t="shared" si="9"/>
        <v>0</v>
      </c>
      <c r="AF31" s="1285">
        <f t="shared" si="9"/>
        <v>79</v>
      </c>
      <c r="AG31" s="1285">
        <f t="shared" si="9"/>
        <v>0</v>
      </c>
      <c r="AH31" s="1285">
        <f t="shared" si="9"/>
        <v>0</v>
      </c>
      <c r="AI31" s="1285">
        <f t="shared" si="9"/>
        <v>0</v>
      </c>
      <c r="AJ31" s="1286">
        <f t="shared" si="9"/>
        <v>0</v>
      </c>
      <c r="AK31" s="1286">
        <f t="shared" si="9"/>
        <v>0</v>
      </c>
      <c r="AL31" s="1278">
        <f t="shared" si="9"/>
        <v>18</v>
      </c>
      <c r="AM31" s="1278">
        <f t="shared" si="9"/>
        <v>9</v>
      </c>
      <c r="AN31" s="1278">
        <f t="shared" si="9"/>
        <v>0</v>
      </c>
      <c r="AO31" s="1278">
        <f t="shared" si="9"/>
        <v>0</v>
      </c>
      <c r="AP31" s="1278">
        <f>IF(ISNUMBER(((Datos!L31/Datos!K31)*11)/factor_trimestre),((Datos!L31/Datos!K31)*11)/factor_trimestre," - ")</f>
        <v>4.6934263243804724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-0.3619047619047619</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-2.5717959708529792E-3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3.7080992435478315</v>
      </c>
      <c r="F33" s="1006">
        <f>IF(ISNUMBER(STDEV(F8:F30)),STDEV(F8:F30),"-")</f>
        <v>57.510868538042445</v>
      </c>
      <c r="G33" s="1007">
        <f>IF(ISNUMBER(STDEV(G8:G30)),STDEV(G8:G30),"-")</f>
        <v>57.510868538042445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20.813457185196313</v>
      </c>
      <c r="AC33" s="1008">
        <f>IF(ISNUMBER(STDEV(AC8:AC30)),STDEV(AC8:AC30),"-")</f>
        <v>0</v>
      </c>
      <c r="AD33" s="1011"/>
      <c r="AE33" s="1011"/>
      <c r="AF33" s="1011"/>
      <c r="AG33" s="1011"/>
      <c r="AH33" s="1011"/>
      <c r="AI33" s="1011"/>
      <c r="AJ33" s="1012">
        <f>IF(ISNUMBER(STDEV(AJ8:AJ30)),STDEV(AJ8:AJ30),"-")</f>
        <v>0</v>
      </c>
      <c r="AK33" s="1014"/>
      <c r="AL33" s="1006">
        <f>IF(ISNUMBER(STDEV(AL8:AL30)),STDEV(AL8:AL30),"-")</f>
        <v>9.8590060350929907</v>
      </c>
      <c r="AM33" s="1006"/>
      <c r="AN33" s="1006">
        <f>IF(ISNUMBER(STDEV(AN8:AN30)),STDEV(AN8:AN30),"-")</f>
        <v>0</v>
      </c>
      <c r="AO33" s="1012">
        <f>IF(ISNUMBER(STDEV(AO8:AO30)),STDEV(AO8:AO30),"-")</f>
        <v>0</v>
      </c>
      <c r="AP33" s="1065">
        <f>IF(ISNUMBER(STDEV(AP8:AP30)),STDEV(AP8:AP30),"-")</f>
        <v>3.5980944627358893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n3ZUqIpLJ9fRogGlXEB2ji22KnzP4P2gHTSM7NFUEBZJdR0BID8SB/SiIbf7+QA/lT5ZYD/D0I5heB2EQMLHzQ==" saltValue="c20jox/Wcu8ZFrIfgZpCn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MALAGA</v>
      </c>
      <c r="C3" s="463"/>
      <c r="F3" s="436"/>
      <c r="G3" s="436"/>
      <c r="H3" s="436"/>
    </row>
    <row r="4" spans="1:15" ht="13.5" thickBot="1">
      <c r="A4" s="436"/>
      <c r="B4" s="439" t="str">
        <f>Criterios!A11 &amp;"  "&amp;Criterios!B11</f>
        <v>Resumenes por Partidos Judiciales  MARBELLA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8</v>
      </c>
      <c r="D9" s="451">
        <f>Datos!BK9</f>
        <v>0</v>
      </c>
      <c r="E9" s="451">
        <f>Datos!AQ9</f>
        <v>8</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5</v>
      </c>
      <c r="D16" s="451">
        <f>Datos!BK16</f>
        <v>0</v>
      </c>
      <c r="E16" s="451">
        <f>Datos!AQ16</f>
        <v>5</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jfBjdMTFGy8C1Iuzr4g28c62MgfC2kmi3QqHTFVz8xLYPXylrOe+mXkZI2s8TnLzIM/NR8lD403DXyT+qkrzqw==" saltValue="Xf53URl0+f7b/zt7DfIX+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MALAGA</v>
      </c>
      <c r="C3" s="475"/>
      <c r="D3" s="476"/>
    </row>
    <row r="4" spans="1:9" ht="13.5" thickBot="1">
      <c r="B4" s="477" t="str">
        <f>Criterios!A11 &amp;"  "&amp;Criterios!B11</f>
        <v>Resumenes por Partidos Judiciales  MARBELLA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8</v>
      </c>
      <c r="C9" s="458">
        <f>Datos!AQ9</f>
        <v>8</v>
      </c>
      <c r="D9" s="451">
        <f>IF(ISNUMBER(Datos!M9),Datos!M9," - ")</f>
        <v>678</v>
      </c>
      <c r="E9" s="452">
        <f t="shared" ref="E9:E14" si="0">IF(ISNUMBER(D9/B9),D9/B9," - ")</f>
        <v>84.75</v>
      </c>
      <c r="F9" s="451">
        <f>IF(ISNUMBER(Datos!N9),Datos!N9," - ")</f>
        <v>826</v>
      </c>
      <c r="G9" s="452">
        <f t="shared" ref="G9:G14" si="1">IF(ISNUMBER(F9/B9),F9/B9," - ")</f>
        <v>103.25</v>
      </c>
      <c r="H9" s="451">
        <f>IF(ISNUMBER(Datos!O9),Datos!O9," - ")</f>
        <v>1565</v>
      </c>
      <c r="I9" s="452">
        <f>IF(ISNUMBER(H9/B9),H9/B9," - ")</f>
        <v>195.625</v>
      </c>
    </row>
    <row r="10" spans="1:9">
      <c r="A10" s="450" t="str">
        <f>Datos!A10</f>
        <v>Jdos. Violencia contra la mujer</v>
      </c>
      <c r="B10" s="480">
        <f>Datos!AO10</f>
        <v>1</v>
      </c>
      <c r="C10" s="458">
        <f>Datos!AQ10</f>
        <v>1</v>
      </c>
      <c r="D10" s="451">
        <f>IF(ISNUMBER(Datos!M10),Datos!M10," - ")</f>
        <v>18</v>
      </c>
      <c r="E10" s="452">
        <f>IF(ISNUMBER(D10/B10),D10/B10," - ")</f>
        <v>18</v>
      </c>
      <c r="F10" s="451">
        <f>IF(ISNUMBER(Datos!N10),Datos!N10," - ")</f>
        <v>9</v>
      </c>
      <c r="G10" s="452">
        <f>IF(ISNUMBER(F10/B10),F10/B10," - ")</f>
        <v>9</v>
      </c>
      <c r="H10" s="451">
        <f>IF(ISNUMBER(Datos!O10),Datos!O10," - ")</f>
        <v>14</v>
      </c>
      <c r="I10" s="452">
        <f t="shared" ref="I10:I13" si="2">IF(ISNUMBER(H10/B10),H10/B10," - ")</f>
        <v>14</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9</v>
      </c>
      <c r="C14" s="1148">
        <f>Datos!AR14</f>
        <v>9</v>
      </c>
      <c r="D14" s="1146">
        <f>SUBTOTAL(9,D9:D13)</f>
        <v>696</v>
      </c>
      <c r="E14" s="1147">
        <f t="shared" si="0"/>
        <v>77.333333333333329</v>
      </c>
      <c r="F14" s="1146">
        <f>SUBTOTAL(9,F9:F13)</f>
        <v>835</v>
      </c>
      <c r="G14" s="1147">
        <f t="shared" si="1"/>
        <v>92.777777777777771</v>
      </c>
      <c r="H14" s="1146">
        <f>SUBTOTAL(9,H9:H13)</f>
        <v>1579</v>
      </c>
      <c r="I14" s="1147">
        <f>IF(ISNUMBER(H14/B14),H14/B14," - ")</f>
        <v>175.44444444444446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5</v>
      </c>
      <c r="C16" s="481">
        <f>Datos!AQ16</f>
        <v>5</v>
      </c>
      <c r="D16" s="451">
        <f>IF(ISNUMBER(Datos!M16),Datos!M16," - ")</f>
        <v>351</v>
      </c>
      <c r="E16" s="452">
        <f t="shared" ref="E16:E23" si="3">IF(ISNUMBER(D16/B16),D16/B16," - ")</f>
        <v>70.2</v>
      </c>
      <c r="F16" s="451">
        <f>IF(ISNUMBER(Datos!N16),Datos!N16," - ")</f>
        <v>2872</v>
      </c>
      <c r="G16" s="452">
        <f t="shared" ref="G16:G23" si="4">IF(ISNUMBER(F16/B16),F16/B16," - ")</f>
        <v>574.4</v>
      </c>
      <c r="H16" s="451">
        <f>IF(ISNUMBER(Datos!O16),Datos!O16," - ")</f>
        <v>94</v>
      </c>
      <c r="I16" s="452">
        <f t="shared" ref="I16:I22" si="5">IF(ISNUMBER(H16/B16),H16/B16," - ")</f>
        <v>18.8</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33</v>
      </c>
      <c r="E18" s="452">
        <f>IF(ISNUMBER(D18/B18),D18/B18," - ")</f>
        <v>33</v>
      </c>
      <c r="F18" s="451">
        <f>IF(ISNUMBER(Datos!N18),Datos!N18," - ")</f>
        <v>134</v>
      </c>
      <c r="G18" s="452">
        <f>IF(ISNUMBER(F18/B18),F18/B18," - ")</f>
        <v>134</v>
      </c>
      <c r="H18" s="451">
        <f>IF(ISNUMBER(Datos!O18),Datos!O18," - ")</f>
        <v>11</v>
      </c>
      <c r="I18" s="452">
        <f t="shared" si="5"/>
        <v>11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6</v>
      </c>
      <c r="D23" s="1146">
        <f>SUBTOTAL(9,D16:D22)</f>
        <v>384</v>
      </c>
      <c r="E23" s="1147">
        <f t="shared" si="3"/>
        <v>64</v>
      </c>
      <c r="F23" s="1146">
        <f>SUBTOTAL(9,F16:F22)</f>
        <v>3006</v>
      </c>
      <c r="G23" s="1147">
        <f t="shared" si="4"/>
        <v>501</v>
      </c>
      <c r="H23" s="1146">
        <f>SUBTOTAL(9,H16:H22)</f>
        <v>105</v>
      </c>
      <c r="I23" s="1147">
        <f>IF(ISNUMBER(H23/B23),H23/B23," - ")</f>
        <v>17.5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14</v>
      </c>
      <c r="C31" s="1084">
        <f>Datos!AR31</f>
        <v>14</v>
      </c>
      <c r="D31" s="1084">
        <f>SUBTOTAL(9,D8:D30)</f>
        <v>1080</v>
      </c>
      <c r="E31" s="1085">
        <f>IF(ISNUMBER(D31/B31),D31/B31," - ")</f>
        <v>77.142857142857139</v>
      </c>
      <c r="F31" s="1084">
        <f>SUBTOTAL(9,F8:F30)</f>
        <v>3841</v>
      </c>
      <c r="G31" s="1085">
        <f>IF(ISNUMBER(F31/B31),F31/B31," - ")</f>
        <v>274.35714285714283</v>
      </c>
      <c r="H31" s="1084">
        <f>SUBTOTAL(9,H8:H30)</f>
        <v>1684</v>
      </c>
      <c r="I31" s="1085">
        <f>IF(ISNUMBER(H31/B31),H31/B31," - ")</f>
        <v>120.28571428571429</v>
      </c>
    </row>
    <row r="34" spans="1:1">
      <c r="A34" s="439" t="str">
        <f>Criterios!A4</f>
        <v>Fecha Informe: 05 may. 2023</v>
      </c>
    </row>
    <row r="39" spans="1:1">
      <c r="A39" s="462"/>
    </row>
  </sheetData>
  <sheetProtection algorithmName="SHA-512" hashValue="DmDfDlybcDVJDWUyI3JbijobmJnUbV/FciZi1LtRGbYbBLVgi+d93fUjwa3i9HAE5iOCyUHz38DNWp5uaLVoSA==" saltValue="Mhl9vMNRwsSDiZUs9n4rA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MALAGA</v>
      </c>
    </row>
    <row r="4" spans="1:4" ht="13.5" thickBot="1">
      <c r="B4" s="439" t="str">
        <f>Criterios!A11 &amp;"  "&amp;Criterios!B11</f>
        <v>Resumenes por Partidos Judiciales  MARBELLA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715</v>
      </c>
      <c r="C9" s="489">
        <f>IF(ISNUMBER(Datos!Q9),Datos!Q9," - ")</f>
        <v>749</v>
      </c>
      <c r="D9" s="456">
        <f>IF(ISNUMBER(Datos!R9),Datos!R9," - ")</f>
        <v>8891</v>
      </c>
    </row>
    <row r="10" spans="1:4">
      <c r="A10" s="450" t="str">
        <f>Datos!A10</f>
        <v>Jdos. Violencia contra la mujer</v>
      </c>
      <c r="B10" s="488">
        <f>IF(ISNUMBER(Datos!P10),Datos!P10," - ")</f>
        <v>8</v>
      </c>
      <c r="C10" s="489">
        <f>IF(ISNUMBER(Datos!Q10),Datos!Q10," - ")</f>
        <v>3</v>
      </c>
      <c r="D10" s="456">
        <f>IF(ISNUMBER(Datos!R10),Datos!R10," - ")</f>
        <v>152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723</v>
      </c>
      <c r="C14" s="1150">
        <f>SUBTOTAL(9,C9:C13)</f>
        <v>752</v>
      </c>
      <c r="D14" s="1148">
        <f>SUBTOTAL(9,D9:D13)</f>
        <v>9043</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179</v>
      </c>
      <c r="C16" s="489">
        <f>IF(ISNUMBER(Datos!Q16),Datos!Q16," - ")</f>
        <v>168</v>
      </c>
      <c r="D16" s="456">
        <f>IF(ISNUMBER(Datos!R16),Datos!R16," - ")</f>
        <v>248</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16</v>
      </c>
      <c r="C18" s="489">
        <f>IF(ISNUMBER(Datos!Q18),Datos!Q18," - ")</f>
        <v>22</v>
      </c>
      <c r="D18" s="456">
        <f>IF(ISNUMBER(Datos!R18),Datos!R18," - ")</f>
        <v>17</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195</v>
      </c>
      <c r="C23" s="1150">
        <f>SUBTOTAL(9,C16:C22)</f>
        <v>190</v>
      </c>
      <c r="D23" s="1148">
        <f>SUBTOTAL(9,D16:D22)</f>
        <v>265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918</v>
      </c>
      <c r="C31" s="1089">
        <f>SUBTOTAL(9,C8:C30)</f>
        <v>942</v>
      </c>
      <c r="D31" s="1090">
        <f>SUBTOTAL(9,D8:D30)</f>
        <v>9308</v>
      </c>
    </row>
    <row r="32" spans="1:4" ht="7.5" customHeight="1"/>
    <row r="33" spans="1:1" ht="6" customHeight="1"/>
    <row r="34" spans="1:1">
      <c r="A34" s="439" t="str">
        <f>Criterios!A4</f>
        <v>Fecha Informe: 05 may. 2023</v>
      </c>
    </row>
    <row r="39" spans="1:1">
      <c r="A39" s="462"/>
    </row>
  </sheetData>
  <sheetProtection algorithmName="SHA-512" hashValue="VhDrfUQBUtPv10iIVtiFjMC+7NXIWPNvjnjVibHyuMWvfadi/QK4ehBr3KKJO+3/hpfBd91Vd4Nz9RPSxDBEAA==" saltValue="sCQZIDsxF5M+4U6FPT3/j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MALAGA</v>
      </c>
    </row>
    <row r="4" spans="1:11" ht="10.5" customHeight="1" thickBot="1">
      <c r="B4" s="439" t="str">
        <f>Criterios!A11 &amp;"  "&amp;Criterios!B11</f>
        <v>Resumenes por Partidos Judiciales  MARBELLA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1.3859556494192186E-2</v>
      </c>
      <c r="C9" s="515">
        <f>IF(ISNUMBER(
   IF(J_V="SI",(Datos!J9-Datos!T9)/Datos!T9,(Datos!J9+Datos!Z9-(Datos!T9+Datos!AH9))/(Datos!T9+Datos!AH9))
     ),IF(J_V="SI",(Datos!J9-Datos!T9)/Datos!T9,(Datos!J9+Datos!Z9-(Datos!T9+Datos!AH9))/(Datos!T9+Datos!AH9))," - ")</f>
        <v>-3.0180345969819652E-2</v>
      </c>
      <c r="D9" s="515">
        <f>IF(ISNUMBER(
   IF(J_V="SI",(Datos!K9-Datos!U9)/Datos!U9,(Datos!K9+Datos!AA9-(Datos!U9+Datos!AI9))/(Datos!U9+Datos!AI9))
     ),IF(J_V="SI",(Datos!K9-Datos!U9)/Datos!U9,(Datos!K9+Datos!AA9-(Datos!U9+Datos!AI9))/(Datos!U9+Datos!AI9))," - ")</f>
        <v>-8.0213903743315516E-3</v>
      </c>
      <c r="E9" s="515">
        <f>IF(ISNUMBER(
   IF(J_V="SI",(Datos!L9-Datos!V9)/Datos!V9,(Datos!L9+Datos!AB9-(Datos!V9+Datos!AJ9))/(Datos!V9+Datos!AJ9))
     ),IF(J_V="SI",(Datos!L9-Datos!V9)/Datos!V9,(Datos!L9+Datos!AB9-(Datos!V9+Datos!AJ9))/(Datos!V9+Datos!AJ9))," - ")</f>
        <v>-1.0322580645161291E-3</v>
      </c>
      <c r="F9" s="515">
        <f>IF(ISNUMBER((Datos!M9-Datos!W9)/Datos!W9),(Datos!M9-Datos!W9)/Datos!W9," - ")</f>
        <v>0.11696869851729819</v>
      </c>
      <c r="G9" s="516">
        <f>IF(ISNUMBER((Datos!N9-Datos!X9)/Datos!X9),(Datos!N9-Datos!X9)/Datos!X9," - ")</f>
        <v>-0.15455475946775846</v>
      </c>
      <c r="H9" s="514">
        <f>IF(ISNUMBER(((NºAsuntos!G9/NºAsuntos!E9)-Datos!BD9)/Datos!BD9),((NºAsuntos!G9/NºAsuntos!E9)-Datos!BD9)/Datos!BD9," - ")</f>
        <v>2.2848532202254742E-2</v>
      </c>
      <c r="I9" s="515">
        <f>IF(ISNUMBER(((NºAsuntos!I9/NºAsuntos!G9)-Datos!BE9)/Datos!BE9),((NºAsuntos!I9/NºAsuntos!G9)-Datos!BE9)/Datos!BE9," - ")</f>
        <v>7.045648204503807E-3</v>
      </c>
      <c r="J9" s="521">
        <f>IF(ISNUMBER((('Resol  Asuntos'!D9/NºAsuntos!G9)-Datos!BF9)/Datos!BF9),(('Resol  Asuntos'!D9/NºAsuntos!G9)-Datos!BF9)/Datos!BF9," - ")</f>
        <v>-0.30042734924834541</v>
      </c>
      <c r="K9" s="522">
        <f>IF(ISNUMBER((((NºAsuntos!C9+NºAsuntos!E9)/NºAsuntos!G9)-Datos!BG9)/Datos!BG9),(((NºAsuntos!C9+NºAsuntos!E9)/NºAsuntos!G9)-Datos!BG9)/Datos!BG9," - ")</f>
        <v>1.0338850651647892E-2</v>
      </c>
    </row>
    <row r="10" spans="1:11">
      <c r="A10" s="450" t="str">
        <f>Datos!A10</f>
        <v>Jdos. Violencia contra la mujer</v>
      </c>
      <c r="B10" s="514">
        <f>IF(ISNUMBER((Datos!I10-Datos!S10)/Datos!S10),(Datos!I10-Datos!S10)/Datos!S10," - ")</f>
        <v>0.28048780487804881</v>
      </c>
      <c r="C10" s="515">
        <f>IF(ISNUMBER((Datos!J10-Datos!T10)/Datos!T10),(Datos!J10-Datos!T10)/Datos!T10," - ")</f>
        <v>-0.7142857142857143</v>
      </c>
      <c r="D10" s="515">
        <f>IF(ISNUMBER((Datos!K10-Datos!U10)/Datos!U10),(Datos!K10-Datos!U10)/Datos!U10," - ")</f>
        <v>1</v>
      </c>
      <c r="E10" s="515">
        <f>IF(ISNUMBER((Datos!L10-Datos!V10)/Datos!V10),(Datos!L10-Datos!V10)/Datos!V10," - ")</f>
        <v>-0.24761904761904763</v>
      </c>
      <c r="F10" s="515">
        <f>IF(ISNUMBER((Datos!M10-Datos!W10)/Datos!W10),(Datos!M10-Datos!W10)/Datos!W10," - ")</f>
        <v>5</v>
      </c>
      <c r="G10" s="516">
        <f>IF(ISNUMBER((Datos!N10-Datos!X10)/Datos!X10),(Datos!N10-Datos!X10)/Datos!X10," - ")</f>
        <v>-0.25</v>
      </c>
      <c r="H10" s="514">
        <f>IF(ISNUMBER(((NºAsuntos!G10/NºAsuntos!E10)-Datos!BD10)/Datos!BD10),((NºAsuntos!G10/NºAsuntos!E10)-Datos!BD10)/Datos!BD10," - ")</f>
        <v>5.9999999999999991</v>
      </c>
      <c r="I10" s="515">
        <f>IF(ISNUMBER(((NºAsuntos!I10/NºAsuntos!G10)-Datos!BE10)/Datos!BE10),((NºAsuntos!I10/NºAsuntos!G10)-Datos!BE10)/Datos!BE10," - ")</f>
        <v>-0.62380952380952381</v>
      </c>
      <c r="J10" s="521">
        <f>IF(ISNUMBER((('Resol  Asuntos'!D10/NºAsuntos!G10)-Datos!BF10)/Datos!BF10),(('Resol  Asuntos'!D10/NºAsuntos!G10)-Datos!BF10)/Datos!BF10," - ")</f>
        <v>2</v>
      </c>
      <c r="K10" s="522">
        <f>IF(ISNUMBER((((NºAsuntos!C10+NºAsuntos!E10)/NºAsuntos!G10)-Datos!BG10)/Datos!BG10),(((NºAsuntos!C10+NºAsuntos!E10)/NºAsuntos!G10)-Datos!BG10)/Datos!BG10," - ")</f>
        <v>-0.52822580645161288</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1.6714546879080701E-2</v>
      </c>
      <c r="C14" s="1152">
        <f>IF(ISNUMBER(
   IF(J_V="SI",(Datos!J14-Datos!T14)/Datos!T14,(Datos!J14+Datos!Z14-(Datos!T14+Datos!AH14))/(Datos!T14+Datos!AH14))
     ),IF(J_V="SI",(Datos!J14-Datos!T14)/Datos!T14,(Datos!J14+Datos!Z14-(Datos!T14+Datos!AH14))/(Datos!T14+Datos!AH14))," - ")</f>
        <v>-4.0594418267488219E-2</v>
      </c>
      <c r="D14" s="1152">
        <f>IF(ISNUMBER(
   IF(J_V="SI",(Datos!K14-Datos!U14)/Datos!U14,(Datos!K14+Datos!AA14-(Datos!U14+Datos!AI14))/(Datos!U14+Datos!AI14))
     ),IF(J_V="SI",(Datos!K14-Datos!U14)/Datos!U14,(Datos!K14+Datos!AA14-(Datos!U14+Datos!AI14))/(Datos!U14+Datos!AI14))," - ")</f>
        <v>-7.5843761850587785E-4</v>
      </c>
      <c r="E14" s="1152">
        <f>IF(ISNUMBER(
   IF(J_V="SI",(Datos!L14-Datos!V14)/Datos!V14,(Datos!L14+Datos!AB14-(Datos!V14+Datos!AJ14))/(Datos!V14+Datos!AJ14))
     ),IF(J_V="SI",(Datos!L14-Datos!V14)/Datos!V14,(Datos!L14+Datos!AB14-(Datos!V14+Datos!AJ14))/(Datos!V14+Datos!AJ14))," - ")</f>
        <v>-4.3284532145130492E-3</v>
      </c>
      <c r="F14" s="1153">
        <f>IF(ISNUMBER((Datos!M14-Datos!W14)/Datos!W14),(Datos!M14-Datos!W14)/Datos!W14," - ")</f>
        <v>0.14098360655737704</v>
      </c>
      <c r="G14" s="1154">
        <f>IF(ISNUMBER((Datos!N14-Datos!X14)/Datos!X14),(Datos!N14-Datos!X14)/Datos!X14," - ")</f>
        <v>-0.1557128412537917</v>
      </c>
      <c r="H14" s="1154">
        <f>IF(ISNUMBER(((NºAsuntos!G14/NºAsuntos!E14)-Datos!BD14)/Datos!BD14),((NºAsuntos!G14/NºAsuntos!E14)-Datos!BD14)/Datos!BD14," - ")</f>
        <v>4.15215227089318E-2</v>
      </c>
      <c r="I14" s="1154">
        <f>IF(ISNUMBER(((NºAsuntos!I14/NºAsuntos!G14)-Datos!BE14)/Datos!BE14),((NºAsuntos!I14/NºAsuntos!G14)-Datos!BE14)/Datos!BE14," - ")</f>
        <v>-3.57272528526402E-3</v>
      </c>
      <c r="J14" s="1154">
        <f>IF(ISNUMBER((('Resol  Asuntos'!D14/NºAsuntos!G14)-Datos!BF14)/Datos!BF14),(('Resol  Asuntos'!D14/NºAsuntos!G14)-Datos!BF14)/Datos!BF14," - ")</f>
        <v>-0.28925686403593692</v>
      </c>
      <c r="K14" s="1154">
        <f>IF(ISNUMBER((((NºAsuntos!C14+NºAsuntos!E14)/NºAsuntos!G14)-Datos!BG14)/Datos!BG14),(((NºAsuntos!C14+NºAsuntos!E14)/NºAsuntos!G14)-Datos!BG14)/Datos!BG14," - ")</f>
        <v>2.2961299394017357E-3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-2.1937842778793418E-2</v>
      </c>
      <c r="C16" s="515">
        <f>IF(ISNUMBER(
   IF(D_I="SI",(Datos!J16-Datos!T16)/Datos!T16,(Datos!J16+Datos!AD16-(Datos!T16+Datos!AL16))/(Datos!T16+Datos!AL16))
     ),IF(D_I="SI",(Datos!J16-Datos!T16)/Datos!T16,(Datos!J16+Datos!AD16-(Datos!T16+Datos!AL16))/(Datos!T16+Datos!AL16))," - ")</f>
        <v>0.20608695652173914</v>
      </c>
      <c r="D16" s="515">
        <f>IF(ISNUMBER(
   IF(D_I="SI",(Datos!K16-Datos!U16)/Datos!U16,(Datos!K16+Datos!AE16-(Datos!U16+Datos!AM16))/(Datos!U16+Datos!AM16))
     ),IF(D_I="SI",(Datos!K16-Datos!U16)/Datos!U16,(Datos!K16+Datos!AE16-(Datos!U16+Datos!AM16))/(Datos!U16+Datos!AM16))," - ")</f>
        <v>0.12098351494830958</v>
      </c>
      <c r="E16" s="515">
        <f>IF(ISNUMBER(
   IF(D_I="SI",(Datos!L16-Datos!V16)/Datos!V16,(Datos!L16+Datos!AF16-(Datos!V16+Datos!AN16))/(Datos!V16+Datos!AN16))
     ),IF(D_I="SI",(Datos!L16-Datos!V16)/Datos!V16,(Datos!L16+Datos!AF16-(Datos!V16+Datos!AN16))/(Datos!V16+Datos!AN16))," - ")</f>
        <v>7.9984979346601578E-2</v>
      </c>
      <c r="F16" s="515">
        <f>IF(ISNUMBER((Datos!M16-Datos!W16)/Datos!W16),(Datos!M16-Datos!W16)/Datos!W16," - ")</f>
        <v>-1.1267605633802818E-2</v>
      </c>
      <c r="G16" s="516">
        <f>IF(ISNUMBER((Datos!N16-Datos!X16)/Datos!X16),(Datos!N16-Datos!X16)/Datos!X16," - ")</f>
        <v>0.16747967479674797</v>
      </c>
      <c r="H16" s="514">
        <f>IF(ISNUMBER(((NºAsuntos!G16/NºAsuntos!E16)-Datos!BD16)/Datos!BD16),((NºAsuntos!G16/NºAsuntos!E16)-Datos!BD16)/Datos!BD16," - ")</f>
        <v>-7.0561613417046823E-2</v>
      </c>
      <c r="I16" s="515">
        <f>IF(ISNUMBER(((NºAsuntos!I16/NºAsuntos!G16)-Datos!BE16)/Datos!BE16),((NºAsuntos!I16/NºAsuntos!G16)-Datos!BE16)/Datos!BE16," - ")</f>
        <v>-3.6573718573906538E-2</v>
      </c>
      <c r="J16" s="521">
        <f>IF(ISNUMBER((('Resol  Asuntos'!D16/NºAsuntos!G16)-Datos!BF16)/Datos!BF16),(('Resol  Asuntos'!D16/NºAsuntos!G16)-Datos!BF16)/Datos!BF16," - ")</f>
        <v>-0.11797775687023436</v>
      </c>
      <c r="K16" s="522">
        <f>IF(ISNUMBER((((NºAsuntos!C16+NºAsuntos!E16)/NºAsuntos!G16)-Datos!BG16)/Datos!BG16),(((NºAsuntos!C16+NºAsuntos!E16)/NºAsuntos!G16)-Datos!BG16)/Datos!BG16," - ")</f>
        <v>-1.4031309466910561E-2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-0.11428571428571428</v>
      </c>
      <c r="C18" s="515">
        <f>IF(ISNUMBER(
   IF(D_I="SI",(Datos!J18-Datos!T18)/Datos!T18,(Datos!J18+Datos!AD18-(Datos!T18+Datos!AL18))/(Datos!T18+Datos!AL18))
     ),IF(D_I="SI",(Datos!J18-Datos!T18)/Datos!T18,(Datos!J18+Datos!AD18-(Datos!T18+Datos!AL18))/(Datos!T18+Datos!AL18))," - ")</f>
        <v>0.17209302325581396</v>
      </c>
      <c r="D18" s="515">
        <f>IF(ISNUMBER(
   IF(D_I="SI",(Datos!K18-Datos!U18)/Datos!U18,(Datos!K18+Datos!AE18-(Datos!U18+Datos!AM18))/(Datos!U18+Datos!AM18))
     ),IF(D_I="SI",(Datos!K18-Datos!U18)/Datos!U18,(Datos!K18+Datos!AE18-(Datos!U18+Datos!AM18))/(Datos!U18+Datos!AM18))," - ")</f>
        <v>7.2992700729927005E-3</v>
      </c>
      <c r="E18" s="515">
        <f>IF(ISNUMBER(
   IF(D_I="SI",(Datos!L18-Datos!V18)/Datos!V18,(Datos!L18+Datos!AF18-(Datos!V18+Datos!AN18))/(Datos!V18+Datos!AN18))
     ),IF(D_I="SI",(Datos!L18-Datos!V18)/Datos!V18,(Datos!L18+Datos!AF18-(Datos!V18+Datos!AN18))/(Datos!V18+Datos!AN18))," - ")</f>
        <v>-0.15748031496062992</v>
      </c>
      <c r="F18" s="515">
        <f>IF(ISNUMBER((Datos!M18-Datos!W18)/Datos!W18),(Datos!M18-Datos!W18)/Datos!W18," - ")</f>
        <v>1.3571428571428572</v>
      </c>
      <c r="G18" s="516">
        <f>IF(ISNUMBER((Datos!N18-Datos!X18)/Datos!X18),(Datos!N18-Datos!X18)/Datos!X18," - ")</f>
        <v>0.11666666666666667</v>
      </c>
      <c r="H18" s="514">
        <f>IF(ISNUMBER(((NºAsuntos!G18/NºAsuntos!E18)-Datos!BD18)/Datos!BD18),((NºAsuntos!G18/NºAsuntos!E18)-Datos!BD18)/Datos!BD18," - ")</f>
        <v>-0.14059784497740691</v>
      </c>
      <c r="I18" s="515">
        <f>IF(ISNUMBER(((NºAsuntos!I18/NºAsuntos!G18)-Datos!BE18)/Datos!BE18),((NºAsuntos!I18/NºAsuntos!G18)-Datos!BE18)/Datos!BE18," - ")</f>
        <v>-0.16358553006961085</v>
      </c>
      <c r="J18" s="521">
        <f>IF(ISNUMBER((('Resol  Asuntos'!D18/NºAsuntos!G18)-Datos!BF18)/Datos!BF18),(('Resol  Asuntos'!D18/NºAsuntos!G18)-Datos!BF18)/Datos!BF18," - ")</f>
        <v>1.3400621118012424</v>
      </c>
      <c r="K18" s="522">
        <f>IF(ISNUMBER((((NºAsuntos!C18+NºAsuntos!E18)/NºAsuntos!G18)-Datos!BG18)/Datos!BG18),(((NºAsuntos!C18+NºAsuntos!E18)/NºAsuntos!G18)-Datos!BG18)/Datos!BG18," - ")</f>
        <v>5.1479893855888977E-2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-2.6434782608695653E-2</v>
      </c>
      <c r="C23" s="1152">
        <f>IF(ISNUMBER(
   IF(Criterios!B14="SI",(Datos!J23-Datos!T23)/Datos!T23,(Datos!J23+Datos!AD23-(Datos!T23+Datos!AL23))/(Datos!T23+Datos!AL23))
     ),IF(Criterios!B14="SI",(Datos!J23-Datos!T23)/Datos!T23,(Datos!J23+Datos!AD23-(Datos!T23+Datos!AL23))/(Datos!T23+Datos!AL23))," - ")</f>
        <v>0.20409276944065485</v>
      </c>
      <c r="D23" s="1152">
        <f>IF(ISNUMBER(
   IF(Criterios!B14="SI",(Datos!K23-Datos!U23)/Datos!U23,(Datos!K23+Datos!AE23-(Datos!U23+Datos!AM23))/(Datos!U23+Datos!AM23))
     ),IF(Criterios!B14="SI",(Datos!K23-Datos!U23)/Datos!U23,(Datos!K23+Datos!AE23-(Datos!U23+Datos!AM23))/(Datos!U23+Datos!AM23))," - ")</f>
        <v>0.11289903970931742</v>
      </c>
      <c r="E23" s="1152">
        <f>IF(ISNUMBER(
   IF(Criterios!B14="SI",(Datos!L23-Datos!V23)/Datos!V23,(Datos!L23+Datos!AF23-(Datos!V23+Datos!AN23))/(Datos!V23+Datos!AN23))
     ),IF(Criterios!B14="SI",(Datos!L23-Datos!V23)/Datos!V23,(Datos!L23+Datos!AF23-(Datos!V23+Datos!AN23))/(Datos!V23+Datos!AN23))," - ")</f>
        <v>6.9175627240143367E-2</v>
      </c>
      <c r="F23" s="1153">
        <f>IF(ISNUMBER((Datos!M23-Datos!W23)/Datos!W23),(Datos!M23-Datos!W23)/Datos!W23," - ")</f>
        <v>4.065040650406504E-2</v>
      </c>
      <c r="G23" s="1154">
        <f>IF(ISNUMBER((Datos!N23-Datos!X23)/Datos!X23),(Datos!N23-Datos!X23)/Datos!X23," - ")</f>
        <v>0.16511627906976745</v>
      </c>
      <c r="H23" s="1154">
        <f>IF(ISNUMBER(((NºAsuntos!G23/NºAsuntos!E23)-Datos!BD23)/Datos!BD23),((NºAsuntos!G23/NºAsuntos!E23)-Datos!BD23)/Datos!BD23," - ")</f>
        <v>-7.5736464868649808E-2</v>
      </c>
      <c r="I23" s="1154">
        <f>IF(ISNUMBER(((NºAsuntos!I23/NºAsuntos!G23)-Datos!BE23)/Datos!BE23),((NºAsuntos!I23/NºAsuntos!G23)-Datos!BE23)/Datos!BE23," - ")</f>
        <v>-3.9287851735943909E-2</v>
      </c>
      <c r="J23" s="1154">
        <f>IF(ISNUMBER((('Resol  Asuntos'!D23/NºAsuntos!G23)-Datos!BF23)/Datos!BF23),(('Resol  Asuntos'!D23/NºAsuntos!G23)-Datos!BF23)/Datos!BF23," - ")</f>
        <v>-6.4919305909477004E-2</v>
      </c>
      <c r="K23" s="1154">
        <f>IF(ISNUMBER((((NºAsuntos!C23+NºAsuntos!E23)/NºAsuntos!G23)-Datos!BG23)/Datos!BG23),(((NºAsuntos!C23+NºAsuntos!E23)/NºAsuntos!G23)-Datos!BG23)/Datos!BG23," - ")</f>
        <v>-9.117400383404169E-3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4.9368650906674262E-3</v>
      </c>
      <c r="C31" s="1092">
        <f>IF(ISNUMBER(
   IF(J_V="SI",(Datos!J31-Datos!T31)/Datos!T31,(Datos!J31+Datos!Z31-(Datos!T31+Datos!AH31))/(Datos!T31+Datos!AH31))
     ),IF(J_V="SI",(Datos!J31-Datos!T31)/Datos!T31,(Datos!J31+Datos!Z31-(Datos!T31+Datos!AH31))/(Datos!T31+Datos!AH31))," - ")</f>
        <v>9.9003735990037353E-2</v>
      </c>
      <c r="D31" s="1092">
        <f>IF(ISNUMBER(
   IF(J_V="SI",(Datos!K31-Datos!U31)/Datos!U31,(Datos!K31+Datos!AA31-(Datos!U31+Datos!AI31))/(Datos!U31+Datos!AI31))
     ),IF(J_V="SI",(Datos!K31-Datos!U31)/Datos!U31,(Datos!K31+Datos!AA31-(Datos!U31+Datos!AI31))/(Datos!U31+Datos!AI31))," - ")</f>
        <v>6.6718027734976884E-2</v>
      </c>
      <c r="E31" s="1092">
        <f>IF(ISNUMBER(
   IF(J_V="SI",(Datos!L31-Datos!V31)/Datos!V31,(Datos!L31+Datos!AB31-(Datos!V31+Datos!AJ31))/(Datos!V31+Datos!AJ31))
     ),IF(J_V="SI",(Datos!L31-Datos!V31)/Datos!V31,(Datos!L31+Datos!AB31-(Datos!V31+Datos!AJ31))/(Datos!V31+Datos!AJ31))," - ")</f>
        <v>1.493658994833255E-2</v>
      </c>
      <c r="F31" s="1093">
        <f>IF(ISNUMBER((Datos!M31-Datos!W31)/Datos!W31),(Datos!M31-Datos!W31)/Datos!W31," - ")</f>
        <v>0.10316649642492338</v>
      </c>
      <c r="G31" s="1094">
        <f>IF(ISNUMBER((Datos!N31-Datos!X31)/Datos!X31),(Datos!N31-Datos!X31)/Datos!X31," - ")</f>
        <v>7.6211824040347431E-2</v>
      </c>
      <c r="H31" s="1095">
        <f>IF(ISNUMBER((Tasas!B31-Datos!BD31)/Datos!BD31),(Tasas!B31-Datos!BD31)/Datos!BD31," - ")</f>
        <v>-2.9377250684207948E-2</v>
      </c>
      <c r="I31" s="1096">
        <f>IF(ISNUMBER((Tasas!C31-Datos!BE31)/Datos!BE31),(Tasas!C31-Datos!BE31)/Datos!BE31," - ")</f>
        <v>-4.8542760542441402E-2</v>
      </c>
      <c r="J31" s="1097">
        <f>IF(ISNUMBER((Tasas!D31-Datos!BF31)/Datos!BF31),(Tasas!D31-Datos!BF31)/Datos!BF31," - ")</f>
        <v>-0.24948017089820057</v>
      </c>
      <c r="K31" s="1097">
        <f>IF(ISNUMBER((Tasas!E31-Datos!BG31)/Datos!BG31),(Tasas!E31-Datos!BG31)/Datos!BG31," - ")</f>
        <v>-2.4509582151575868E-2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zrv+0IZYcU6XtOD1k0DsB/7E8JB8Ps1VSkA4QEFR/SWQNzd5pza1+OYo1yoml4CqDqF0hIhbH0G5GFkXBQkK9Q==" saltValue="BTzyyaUzx1ux5E1xJToil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MALAGA</v>
      </c>
    </row>
    <row r="4" spans="1:7" ht="11.25" customHeight="1" thickBot="1">
      <c r="B4" s="439" t="str">
        <f>Criterios!A11 &amp;"  "&amp;Criterios!B11</f>
        <v>Resumenes por Partidos Judiciales  MARBELLA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0.98557874762808351</v>
      </c>
      <c r="C9" s="498">
        <f>IF(ISNUMBER(NºAsuntos!I9/NºAsuntos!G9),NºAsuntos!I9/NºAsuntos!G9," - ")</f>
        <v>2.9811320754716979</v>
      </c>
      <c r="D9" s="499">
        <f>IF(ISNUMBER('Resol  Asuntos'!D9/NºAsuntos!G9),'Resol  Asuntos'!D9/NºAsuntos!G9," - ")</f>
        <v>0.26107046592221794</v>
      </c>
      <c r="E9" s="500">
        <f>IF(ISNUMBER((NºAsuntos!C9+NºAsuntos!E9)/NºAsuntos!G9),(NºAsuntos!C9+NºAsuntos!E9)/NºAsuntos!G9," - ")</f>
        <v>3.9722757027339237</v>
      </c>
      <c r="G9" s="523"/>
    </row>
    <row r="10" spans="1:7">
      <c r="A10" s="450" t="str">
        <f>Datos!A10</f>
        <v>Jdos. Violencia contra la mujer</v>
      </c>
      <c r="B10" s="497">
        <f>IF(ISNUMBER(NºAsuntos!G10/NºAsuntos!E10),NºAsuntos!G10/NºAsuntos!E10," - ")</f>
        <v>3.1666666666666665</v>
      </c>
      <c r="C10" s="498">
        <f>IF(ISNUMBER(NºAsuntos!I10/NºAsuntos!G10),NºAsuntos!I10/NºAsuntos!G10," - ")</f>
        <v>2.0789473684210527</v>
      </c>
      <c r="D10" s="499">
        <f>IF(ISNUMBER('Resol  Asuntos'!D10/NºAsuntos!G10),'Resol  Asuntos'!D10/NºAsuntos!G10," - ")</f>
        <v>0.47368421052631576</v>
      </c>
      <c r="E10" s="500">
        <f>IF(ISNUMBER((NºAsuntos!C10+NºAsuntos!E10)/NºAsuntos!G10),(NºAsuntos!C10+NºAsuntos!E10)/NºAsuntos!G10," - ")</f>
        <v>3.0789473684210527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0.99546656592368721</v>
      </c>
      <c r="C14" s="1156">
        <f>IF(ISNUMBER(NºAsuntos!I14/NºAsuntos!G14),NºAsuntos!I14/NºAsuntos!G14," - ")</f>
        <v>2.9681214421252373</v>
      </c>
      <c r="D14" s="1157">
        <f>IF(ISNUMBER('Resol  Asuntos'!D14/NºAsuntos!G14),'Resol  Asuntos'!D14/NºAsuntos!G14," - ")</f>
        <v>0.26413662239089186</v>
      </c>
      <c r="E14" s="1158">
        <f>IF(ISNUMBER((NºAsuntos!C14+NºAsuntos!E14)/NºAsuntos!G14),(NºAsuntos!C14+NºAsuntos!E14)/NºAsuntos!G14," - ")</f>
        <v>3.9593927893738141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0.96419130016822874</v>
      </c>
      <c r="C16" s="498">
        <f>IF(ISNUMBER(NºAsuntos!I16/NºAsuntos!G16),NºAsuntos!I16/NºAsuntos!G16," - ")</f>
        <v>0.71684945164506475</v>
      </c>
      <c r="D16" s="499">
        <f>IF(ISNUMBER('Resol  Asuntos'!D16/NºAsuntos!G16),'Resol  Asuntos'!D16/NºAsuntos!G16," - ")</f>
        <v>8.7487537387836489E-2</v>
      </c>
      <c r="E16" s="500">
        <f>IF(ISNUMBER((NºAsuntos!C16+NºAsuntos!E16)/NºAsuntos!G16),(NºAsuntos!C16+NºAsuntos!E16)/NºAsuntos!G16," - ")</f>
        <v>1.7038883349950149</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1.0952380952380953</v>
      </c>
      <c r="C18" s="498">
        <f>IF(ISNUMBER(NºAsuntos!I18/NºAsuntos!G18),NºAsuntos!I18/NºAsuntos!G18," - ")</f>
        <v>0.38768115942028986</v>
      </c>
      <c r="D18" s="499">
        <f>IF(ISNUMBER('Resol  Asuntos'!D18/NºAsuntos!G18),'Resol  Asuntos'!D18/NºAsuntos!G18," - ")</f>
        <v>0.11956521739130435</v>
      </c>
      <c r="E18" s="500">
        <f>IF(ISNUMBER((NºAsuntos!C18+NºAsuntos!E18)/NºAsuntos!G18),(NºAsuntos!C18+NºAsuntos!E18)/NºAsuntos!G18," - ")</f>
        <v>1.3623188405797102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0.97167459777928844</v>
      </c>
      <c r="C23" s="1156">
        <f>IF(ISNUMBER(NºAsuntos!I23/NºAsuntos!G23),NºAsuntos!I23/NºAsuntos!G23," - ")</f>
        <v>0.6956623134328358</v>
      </c>
      <c r="D23" s="1159">
        <f>IF(ISNUMBER('Resol  Asuntos'!D23/NºAsuntos!G23),'Resol  Asuntos'!D23/NºAsuntos!G23," - ")</f>
        <v>8.9552238805970144E-2</v>
      </c>
      <c r="E23" s="1158">
        <f>IF(ISNUMBER((NºAsuntos!C23+NºAsuntos!E23)/NºAsuntos!G23),(NºAsuntos!C23+NºAsuntos!E23)/NºAsuntos!G23," - ")</f>
        <v>1.6819029850746268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0.98059490084985834</v>
      </c>
      <c r="C31" s="1099">
        <f>IF(ISNUMBER(NºAsuntos!I31/NºAsuntos!G31),NºAsuntos!I31/NºAsuntos!G31," - ")</f>
        <v>1.5605951177235302</v>
      </c>
      <c r="D31" s="1100">
        <f>IF(ISNUMBER('Resol  Asuntos'!D31/NºAsuntos!G31),'Resol  Asuntos'!D31/NºAsuntos!G31," - ")</f>
        <v>0.15600173335259282</v>
      </c>
      <c r="E31" s="1101">
        <f>IF(ISNUMBER((NºAsuntos!C31+NºAsuntos!E31)/NºAsuntos!G31),(NºAsuntos!C31+NºAsuntos!E31)/NºAsuntos!G31," - ")</f>
        <v>2.5487505416726854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3Nur0eoUfmG7yBPVS1sLBTOYAL2Lpl11w/3o9ncVmD8KGFwJno12DiH3z5vFjWZ9iLpTdU4tB9qAxWSZG7+azQ==" saltValue="XXd5hK7G/1IVGurGKSY20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MALAGA</v>
      </c>
      <c r="N2" s="368" t="str">
        <f>Criterios!A11 &amp;"  "&amp;Criterios!B11</f>
        <v>Resumenes por Partidos Judiciales  MARBELLA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8</v>
      </c>
      <c r="B9" s="190" t="s">
        <v>321</v>
      </c>
      <c r="C9" s="173" t="str">
        <f>Datos!A9</f>
        <v xml:space="preserve">Jdos. 1ª Instancia   </v>
      </c>
      <c r="D9" s="173"/>
      <c r="E9" s="1402">
        <f>IF(ISNUMBER(Datos!AQ9),Datos!AQ9," - ")</f>
        <v>8</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715</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749</v>
      </c>
      <c r="Y9" s="374">
        <f>SUM(W9:X9)</f>
        <v>749</v>
      </c>
      <c r="Z9" s="375" t="str">
        <f>IF(ISNUMBER(Datos!CC9),Datos!CC9," - ")</f>
        <v xml:space="preserve"> - </v>
      </c>
      <c r="AA9" s="372" t="str">
        <f>IF(ISNUMBER(IF(J_V="SI",Datos!L9,Datos!L9+Datos!AB9)-IF(Monitorios="SI",Datos!CD9,0)),
                          IF(J_V="SI",Datos!L9,Datos!L9+Datos!AB9)-IF(Monitorios="SI",Datos!CD9,0),
                          " - ")</f>
        <v xml:space="preserve"> - </v>
      </c>
      <c r="AB9" s="374">
        <f>IF(ISNUMBER(Datos!R9),Datos!R9," - ")</f>
        <v>8891</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678</v>
      </c>
      <c r="AJ9" s="243" t="str">
        <f>IF(ISNUMBER(Datos!BW9),Datos!BW9," - ")</f>
        <v xml:space="preserve"> - </v>
      </c>
      <c r="AK9" s="242" t="str">
        <f>IF(ISNUMBER(Datos!BX9),Datos!BX9," - ")</f>
        <v xml:space="preserve"> - </v>
      </c>
      <c r="AL9" s="266">
        <f>IF(ISNUMBER(NºAsuntos!G9/NºAsuntos!E9),NºAsuntos!G9/NºAsuntos!E9," - ")</f>
        <v>0.98557874762808351</v>
      </c>
      <c r="AM9" s="284">
        <f>IF(ISNUMBER(((NºAsuntos!I9/NºAsuntos!G9)*11)/factor_trimestre),((NºAsuntos!I9/NºAsuntos!G9)*11)/factor_trimestre," - ")</f>
        <v>8.9433962264150946</v>
      </c>
      <c r="AN9" s="267">
        <f>IF(ISNUMBER('Resol  Asuntos'!D9/NºAsuntos!G9),'Resol  Asuntos'!D9/NºAsuntos!G9," - ")</f>
        <v>0.26107046592221794</v>
      </c>
      <c r="AO9" s="268">
        <f>IF(ISNUMBER((NºAsuntos!C9+NºAsuntos!E9)/NºAsuntos!G9),(NºAsuntos!C9+NºAsuntos!E9)/NºAsuntos!G9," - ")</f>
        <v>3.9722757027339237</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105</v>
      </c>
      <c r="G10" s="373">
        <f>IF(ISNUMBER(Datos!I10),Datos!I10," - ")</f>
        <v>105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8</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38</v>
      </c>
      <c r="X10" s="240">
        <f>IF(ISNUMBER(Datos!Q10),Datos!Q10," - ")</f>
        <v>3</v>
      </c>
      <c r="Y10" s="374">
        <f t="shared" ref="Y10:Y13" si="0">SUM(W10:X10)</f>
        <v>41</v>
      </c>
      <c r="Z10" s="375" t="str">
        <f>IF(ISNUMBER(Datos!CC10),Datos!CC10," - ")</f>
        <v xml:space="preserve"> - </v>
      </c>
      <c r="AA10" s="372">
        <f>IF(ISNUMBER(Datos!L10),Datos!L10,"-")</f>
        <v>79</v>
      </c>
      <c r="AB10" s="374">
        <f>IF(ISNUMBER(Datos!R10),Datos!R10," - ")</f>
        <v>152</v>
      </c>
      <c r="AC10" s="374">
        <f t="shared" ref="AC10:AC13" si="1">IF(ISNUMBER(AA10+AB10),AA10+AB10," - ")</f>
        <v>231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18</v>
      </c>
      <c r="AJ10" s="245" t="str">
        <f>IF(ISNUMBER(Datos!BW10),Datos!BW10," - ")</f>
        <v xml:space="preserve"> - </v>
      </c>
      <c r="AK10" s="246" t="str">
        <f>IF(ISNUMBER(Datos!BX10),Datos!BX10," - ")</f>
        <v xml:space="preserve"> - </v>
      </c>
      <c r="AL10" s="266">
        <f>IF(ISNUMBER(NºAsuntos!G10/NºAsuntos!E10),NºAsuntos!G10/NºAsuntos!E10," - ")</f>
        <v>3.1666666666666665</v>
      </c>
      <c r="AM10" s="284">
        <f>IF(ISNUMBER(((NºAsuntos!I10/NºAsuntos!G10)*11)/factor_trimestre),((NºAsuntos!I10/NºAsuntos!G10)*11)/factor_trimestre," - ")</f>
        <v>6.2368421052631584</v>
      </c>
      <c r="AN10" s="267">
        <f>IF(ISNUMBER('Resol  Asuntos'!D10/NºAsuntos!G10),'Resol  Asuntos'!D10/NºAsuntos!G10," - ")</f>
        <v>0.47368421052631576</v>
      </c>
      <c r="AO10" s="268">
        <f>IF(ISNUMBER((NºAsuntos!C10+NºAsuntos!E10)/NºAsuntos!G10),(NºAsuntos!C10+NºAsuntos!E10)/NºAsuntos!G10," - ")</f>
        <v>3.0789473684210527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9</v>
      </c>
      <c r="F14" s="1162">
        <f t="shared" si="5"/>
        <v>105</v>
      </c>
      <c r="G14" s="1163">
        <f t="shared" si="5"/>
        <v>105</v>
      </c>
      <c r="H14" s="1162">
        <f t="shared" si="5"/>
        <v>0</v>
      </c>
      <c r="I14" s="1164">
        <f t="shared" si="5"/>
        <v>0</v>
      </c>
      <c r="J14" s="1164">
        <f t="shared" si="5"/>
        <v>0</v>
      </c>
      <c r="K14" s="1164">
        <f t="shared" si="5"/>
        <v>0</v>
      </c>
      <c r="L14" s="1164">
        <f t="shared" si="5"/>
        <v>723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38</v>
      </c>
      <c r="X14" s="1164">
        <f t="shared" si="6"/>
        <v>752</v>
      </c>
      <c r="Y14" s="1165">
        <f t="shared" si="6"/>
        <v>790</v>
      </c>
      <c r="Z14" s="1165">
        <f t="shared" si="6"/>
        <v>0</v>
      </c>
      <c r="AA14" s="1165">
        <f t="shared" si="6"/>
        <v>79</v>
      </c>
      <c r="AB14" s="1165">
        <f t="shared" si="6"/>
        <v>9043</v>
      </c>
      <c r="AC14" s="1165">
        <f t="shared" si="6"/>
        <v>231</v>
      </c>
      <c r="AD14" s="1165">
        <f t="shared" si="6"/>
        <v>0</v>
      </c>
      <c r="AE14" s="1169">
        <f t="shared" si="6"/>
        <v>0</v>
      </c>
      <c r="AF14" s="1162">
        <f t="shared" si="6"/>
        <v>0</v>
      </c>
      <c r="AG14" s="1170">
        <f t="shared" si="6"/>
        <v>0</v>
      </c>
      <c r="AH14" s="1167">
        <f t="shared" si="6"/>
        <v>0</v>
      </c>
      <c r="AI14" s="1162">
        <f t="shared" si="6"/>
        <v>696</v>
      </c>
      <c r="AJ14" s="1164">
        <f t="shared" si="6"/>
        <v>0</v>
      </c>
      <c r="AK14" s="1167">
        <f>SUBTOTAL(9,AK9:AK13)</f>
        <v>0</v>
      </c>
      <c r="AL14" s="1171">
        <f>IF(ISNUMBER(NºAsuntos!G14/NºAsuntos!E14),NºAsuntos!G14/NºAsuntos!E14," - ")</f>
        <v>0.99546656592368721</v>
      </c>
      <c r="AM14" s="1171">
        <f>IF(ISNUMBER(((NºAsuntos!I14/NºAsuntos!G14)*11)/factor_trimestre),((NºAsuntos!I14/NºAsuntos!G14)*11)/factor_trimestre," - ")</f>
        <v>8.9043643263757115</v>
      </c>
      <c r="AN14" s="1172">
        <f>IF(ISNUMBER('Resol  Asuntos'!D14/NºAsuntos!G14),'Resol  Asuntos'!D14/NºAsuntos!G14," - ")</f>
        <v>0.26413662239089186</v>
      </c>
      <c r="AO14" s="1173">
        <f>IF(ISNUMBER((NºAsuntos!C14+NºAsuntos!E14)/NºAsuntos!G14),(NºAsuntos!C14+NºAsuntos!E14)/NºAsuntos!G14," - ")</f>
        <v>3.9593927893738141</v>
      </c>
      <c r="AP14" s="1174" t="str">
        <f t="shared" si="2"/>
        <v xml:space="preserve"> - </v>
      </c>
      <c r="AQ14" s="1174">
        <f>IF(ISNUMBER((H14-W14+K14)/(F14)),(H14-W14+K14)/(F14)," - ")</f>
        <v>-0.3619047619047619</v>
      </c>
      <c r="AR14" s="1175">
        <f>IF(ISNUMBER((Datos!P14-Datos!Q14)/(Datos!R14-Datos!P14+Datos!Q14)),(Datos!P14-Datos!Q14)/(Datos!R14-Datos!P14+Datos!Q14)," - ")</f>
        <v>-3.1966490299823631E-3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5</v>
      </c>
      <c r="B16" s="300" t="s">
        <v>511</v>
      </c>
      <c r="C16" s="173" t="str">
        <f>Datos!A16</f>
        <v xml:space="preserve">Jdos. Instrucción                               </v>
      </c>
      <c r="D16" s="173"/>
      <c r="E16" s="1402">
        <f>IF(ISNUMBER(Datos!AQ16),Datos!AQ16," - ")</f>
        <v>5</v>
      </c>
      <c r="F16" s="239">
        <f>IF(ISNUMBER(AA16+W16-Datos!J16-K16),AA16+W16-Datos!J16-K16," - ")</f>
        <v>2727</v>
      </c>
      <c r="G16" s="373">
        <f>IF(ISNUMBER(IF(D_I="SI",Datos!I16,Datos!I16+Datos!AC16)),IF(D_I="SI",Datos!I16,Datos!I16+Datos!AC16)," - ")</f>
        <v>2675</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179</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4012</v>
      </c>
      <c r="X16" s="240">
        <f>IF(ISNUMBER(Datos!Q16),Datos!Q16," - ")</f>
        <v>168</v>
      </c>
      <c r="Y16" s="374">
        <f>SUM(W16)</f>
        <v>4012</v>
      </c>
      <c r="Z16" s="375" t="str">
        <f>IF(ISNUMBER(Datos!CC16),Datos!CC16," - ")</f>
        <v xml:space="preserve"> - </v>
      </c>
      <c r="AA16" s="372">
        <f>IF(ISNUMBER(IF(D_I="SI",Datos!L16,Datos!L16+Datos!AF16)),IF(D_I="SI",Datos!L16,Datos!L16+Datos!AF16)," - ")</f>
        <v>2876</v>
      </c>
      <c r="AB16" s="374">
        <f>IF(ISNUMBER(Datos!R16),Datos!R16," - ")</f>
        <v>248</v>
      </c>
      <c r="AC16" s="374">
        <f t="shared" ref="AC16:AC22" si="8">IF(ISNUMBER(AA16+AB16),AA16+AB16," - ")</f>
        <v>3124</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351</v>
      </c>
      <c r="AJ16" s="245" t="str">
        <f>IF(ISNUMBER(Datos!BW16),Datos!BW16," - ")</f>
        <v xml:space="preserve"> - </v>
      </c>
      <c r="AK16" s="246" t="str">
        <f>IF(ISNUMBER(Datos!BX16),Datos!BX16," - ")</f>
        <v xml:space="preserve"> - </v>
      </c>
      <c r="AL16" s="266">
        <f>IF(ISNUMBER(NºAsuntos!G16/NºAsuntos!E16),NºAsuntos!G16/NºAsuntos!E16," - ")</f>
        <v>0.96419130016822874</v>
      </c>
      <c r="AM16" s="284">
        <f>IF(ISNUMBER(((NºAsuntos!I16/NºAsuntos!G16)*11)/factor_trimestre),((NºAsuntos!I16/NºAsuntos!G16)*11)/factor_trimestre," - ")</f>
        <v>2.1505483549351943</v>
      </c>
      <c r="AN16" s="267">
        <f>IF(ISNUMBER('Resol  Asuntos'!D16/NºAsuntos!G16),'Resol  Asuntos'!D16/NºAsuntos!G16," - ")</f>
        <v>8.7487537387836489E-2</v>
      </c>
      <c r="AO16" s="268">
        <f>IF(ISNUMBER((NºAsuntos!C16+NºAsuntos!E16)/NºAsuntos!G16),(NºAsuntos!C16+NºAsuntos!E16)/NºAsuntos!G16," - ")</f>
        <v>1.7038883349950149</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124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16</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276</v>
      </c>
      <c r="X18" s="240">
        <f>IF(ISNUMBER(Datos!Q18),Datos!Q18," - ")</f>
        <v>22</v>
      </c>
      <c r="Y18" s="374">
        <f t="shared" si="9"/>
        <v>298</v>
      </c>
      <c r="Z18" s="375" t="str">
        <f>IF(ISNUMBER(Datos!CC18),Datos!CC18," - ")</f>
        <v xml:space="preserve"> - </v>
      </c>
      <c r="AA18" s="372">
        <f>IF(ISNUMBER(Datos!L18),Datos!L18,"-")</f>
        <v>107</v>
      </c>
      <c r="AB18" s="374">
        <f>IF(ISNUMBER(Datos!R18),Datos!R18," - ")</f>
        <v>17</v>
      </c>
      <c r="AC18" s="374">
        <f t="shared" si="8"/>
        <v>124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33</v>
      </c>
      <c r="AJ18" s="245" t="str">
        <f>IF(ISNUMBER(Datos!BW18),Datos!BW18," - ")</f>
        <v xml:space="preserve"> - </v>
      </c>
      <c r="AK18" s="246" t="str">
        <f>IF(ISNUMBER(Datos!BX18),Datos!BX18," - ")</f>
        <v xml:space="preserve"> - </v>
      </c>
      <c r="AL18" s="266">
        <f>IF(ISNUMBER(NºAsuntos!G18/NºAsuntos!E18),NºAsuntos!G18/NºAsuntos!E18," - ")</f>
        <v>1.0952380952380953</v>
      </c>
      <c r="AM18" s="284">
        <f>IF(ISNUMBER(((NºAsuntos!I18/NºAsuntos!G18)*11)/factor_trimestre),((NºAsuntos!I18/NºAsuntos!G18)*11)/factor_trimestre," - ")</f>
        <v>1.1630434782608696</v>
      </c>
      <c r="AN18" s="267">
        <f>IF(ISNUMBER('Resol  Asuntos'!D18/NºAsuntos!G18),'Resol  Asuntos'!D18/NºAsuntos!G18," - ")</f>
        <v>0.11956521739130435</v>
      </c>
      <c r="AO18" s="268">
        <f>IF(ISNUMBER((NºAsuntos!C18+NºAsuntos!E18)/NºAsuntos!G18),(NºAsuntos!C18+NºAsuntos!E18)/NºAsuntos!G18," - ")</f>
        <v>1.3623188405797102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2727</v>
      </c>
      <c r="G23" s="1163">
        <f>SUBTOTAL(9,G16:G22)</f>
        <v>2799</v>
      </c>
      <c r="H23" s="1162">
        <f t="shared" ref="H23:O23" si="13">SUBTOTAL(9,H15:H22)</f>
        <v>0</v>
      </c>
      <c r="I23" s="1164">
        <f t="shared" si="13"/>
        <v>0</v>
      </c>
      <c r="J23" s="1164">
        <f t="shared" si="13"/>
        <v>0</v>
      </c>
      <c r="K23" s="1164">
        <f t="shared" si="13"/>
        <v>0</v>
      </c>
      <c r="L23" s="1164">
        <f t="shared" si="13"/>
        <v>195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4288</v>
      </c>
      <c r="X23" s="1164">
        <f t="shared" si="14"/>
        <v>190</v>
      </c>
      <c r="Y23" s="1165">
        <f t="shared" si="14"/>
        <v>4310</v>
      </c>
      <c r="Z23" s="1165">
        <f t="shared" si="14"/>
        <v>0</v>
      </c>
      <c r="AA23" s="1165">
        <f t="shared" si="14"/>
        <v>2983</v>
      </c>
      <c r="AB23" s="1165">
        <f t="shared" si="14"/>
        <v>265</v>
      </c>
      <c r="AC23" s="1165">
        <f t="shared" si="14"/>
        <v>3248</v>
      </c>
      <c r="AD23" s="1165">
        <f t="shared" si="14"/>
        <v>0</v>
      </c>
      <c r="AE23" s="1169">
        <f t="shared" si="14"/>
        <v>0</v>
      </c>
      <c r="AF23" s="1162">
        <f t="shared" si="14"/>
        <v>0</v>
      </c>
      <c r="AG23" s="1170">
        <f t="shared" si="14"/>
        <v>0</v>
      </c>
      <c r="AH23" s="1167">
        <f t="shared" si="14"/>
        <v>0</v>
      </c>
      <c r="AI23" s="1162">
        <f t="shared" si="14"/>
        <v>384</v>
      </c>
      <c r="AJ23" s="1164">
        <f t="shared" si="14"/>
        <v>0</v>
      </c>
      <c r="AK23" s="1167">
        <f t="shared" si="14"/>
        <v>0</v>
      </c>
      <c r="AL23" s="1171">
        <f>IF(ISNUMBER(NºAsuntos!G23/NºAsuntos!E23),NºAsuntos!G23/NºAsuntos!E23," - ")</f>
        <v>0.97167459777928844</v>
      </c>
      <c r="AM23" s="1171">
        <f>IF(ISNUMBER(((NºAsuntos!I23/NºAsuntos!G23)*11)/factor_trimestre),((NºAsuntos!I23/NºAsuntos!G23)*11)/factor_trimestre," - ")</f>
        <v>2.0869869402985075</v>
      </c>
      <c r="AN23" s="1172">
        <f>IF(ISNUMBER('Resol  Asuntos'!D23/NºAsuntos!G23),'Resol  Asuntos'!D23/NºAsuntos!G23," - ")</f>
        <v>8.9552238805970144E-2</v>
      </c>
      <c r="AO23" s="1173">
        <f>IF(ISNUMBER((NºAsuntos!C23+NºAsuntos!E23)/NºAsuntos!G23),(NºAsuntos!C23+NºAsuntos!E23)/NºAsuntos!G23," - ")</f>
        <v>1.6819029850746268</v>
      </c>
      <c r="AP23" s="1174" t="str">
        <f t="shared" si="2"/>
        <v xml:space="preserve"> - </v>
      </c>
      <c r="AQ23" s="1174">
        <f>IF(ISNUMBER((H23-W23+K23)/(F23)),(H23-W23+K23)/(F23)," - ")</f>
        <v>-1.5724239090575725</v>
      </c>
      <c r="AR23" s="1175">
        <f>IF(ISNUMBER((Datos!P23-Datos!Q23)/(Datos!R23-Datos!P23+Datos!Q23)),(Datos!P23-Datos!Q23)/(Datos!R23-Datos!P23+Datos!Q23)," - ")</f>
        <v>1.9230769230769232E-2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15</v>
      </c>
      <c r="F31" s="1117">
        <f t="shared" si="20"/>
        <v>2832</v>
      </c>
      <c r="G31" s="1118">
        <f t="shared" si="20"/>
        <v>2904</v>
      </c>
      <c r="H31" s="1117">
        <f t="shared" si="20"/>
        <v>0</v>
      </c>
      <c r="I31" s="1119">
        <f t="shared" si="20"/>
        <v>0</v>
      </c>
      <c r="J31" s="1119">
        <f t="shared" si="20"/>
        <v>0</v>
      </c>
      <c r="K31" s="1180">
        <f t="shared" si="20"/>
        <v>0</v>
      </c>
      <c r="L31" s="1119">
        <f t="shared" si="20"/>
        <v>918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4326</v>
      </c>
      <c r="X31" s="1118">
        <f t="shared" si="21"/>
        <v>942</v>
      </c>
      <c r="Y31" s="1125">
        <f t="shared" si="21"/>
        <v>5100</v>
      </c>
      <c r="Z31" s="1125">
        <f t="shared" si="21"/>
        <v>0</v>
      </c>
      <c r="AA31" s="1125">
        <f t="shared" si="21"/>
        <v>3062</v>
      </c>
      <c r="AB31" s="1125">
        <f t="shared" si="21"/>
        <v>9308</v>
      </c>
      <c r="AC31" s="1125">
        <f t="shared" si="21"/>
        <v>3479</v>
      </c>
      <c r="AD31" s="1125">
        <f t="shared" si="21"/>
        <v>0</v>
      </c>
      <c r="AE31" s="1127">
        <f t="shared" si="21"/>
        <v>0</v>
      </c>
      <c r="AF31" s="1128">
        <f t="shared" si="21"/>
        <v>0</v>
      </c>
      <c r="AG31" s="1129">
        <f t="shared" si="21"/>
        <v>0</v>
      </c>
      <c r="AH31" s="1127">
        <f t="shared" si="21"/>
        <v>0</v>
      </c>
      <c r="AI31" s="1117">
        <f t="shared" si="21"/>
        <v>1080</v>
      </c>
      <c r="AJ31" s="1117">
        <f t="shared" si="21"/>
        <v>0</v>
      </c>
      <c r="AK31" s="1127">
        <f t="shared" si="21"/>
        <v>0</v>
      </c>
      <c r="AL31" s="1183">
        <f>IF(ISNUMBER(NºAsuntos!G31/NºAsuntos!E31),NºAsuntos!G31/NºAsuntos!E31," - ")</f>
        <v>0.98059490084985834</v>
      </c>
      <c r="AM31" s="1184">
        <f>IF(ISNUMBER(((NºAsuntos!I31/NºAsuntos!G31)*11)/factor_trimestre),((NºAsuntos!I31/NºAsuntos!G31)*11)/factor_trimestre," - ")</f>
        <v>4.6817853531705902</v>
      </c>
      <c r="AN31" s="1184">
        <f>IF(ISNUMBER('Resol  Asuntos'!D31/NºAsuntos!G31),'Resol  Asuntos'!D31/NºAsuntos!G31," - ")</f>
        <v>0.15600173335259282</v>
      </c>
      <c r="AO31" s="1185">
        <f>IF(ISNUMBER((NºAsuntos!C31+NºAsuntos!E31)/NºAsuntos!G31),(NºAsuntos!C31+NºAsuntos!E31)/NºAsuntos!G31," - ")</f>
        <v>2.5487505416726854</v>
      </c>
      <c r="AP31" s="1186" t="str">
        <f t="shared" si="2"/>
        <v xml:space="preserve"> - </v>
      </c>
      <c r="AQ31" s="1187">
        <f>IF(OR(ISNUMBER(FIND("01",Criterios!A8,1)),ISNUMBER(FIND("02",Criterios!A8,1)),ISNUMBER(FIND("03",Criterios!A8,1)),ISNUMBER(FIND("04",Criterios!A8,1))),(I31-W31+K31)/(F31-K31),(H31-W31+K31)/(F31-K31))</f>
        <v>-1.527542372881356</v>
      </c>
      <c r="AR31" s="1188">
        <f>IF(ISNUMBER((Datos!P31-Datos!Q31)/(Datos!R31-Datos!P31+Datos!Q31)),(Datos!P31-Datos!Q31)/(Datos!R31-Datos!P31+Datos!Q31)," - ")</f>
        <v>-2.5717959708529792E-3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829.71428571428567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2.9873025638838686</v>
      </c>
      <c r="F33" s="276">
        <f>IF(ISNUMBER(STDEV(F8:F30)),STDEV(F8:F30),"-")</f>
        <v>1381.9039040396406</v>
      </c>
      <c r="G33" s="277">
        <f>IF(ISNUMBER(STDEV(G8:G30)),STDEV(G8:G30),"-")</f>
        <v>1304.381809426176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1994.5041154800024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300.70631139749247</v>
      </c>
      <c r="AJ33" s="276">
        <f t="shared" si="25"/>
        <v>0</v>
      </c>
      <c r="AK33" s="278">
        <f t="shared" si="25"/>
        <v>0</v>
      </c>
      <c r="AL33" s="273">
        <f t="shared" si="25"/>
        <v>0.88483007945119319</v>
      </c>
      <c r="AM33" s="274">
        <f t="shared" si="25"/>
        <v>3.5667154378166623</v>
      </c>
      <c r="AN33" s="274">
        <f t="shared" si="25"/>
        <v>0.15003582774507171</v>
      </c>
      <c r="AO33" s="275">
        <f t="shared" si="25"/>
        <v>1.1944918457282596</v>
      </c>
      <c r="AP33" s="317" t="str">
        <f t="shared" si="25"/>
        <v>-</v>
      </c>
      <c r="AQ33" s="318">
        <f t="shared" si="25"/>
        <v>0.85596629770790833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hsMy1sKeoFOZZhrsRFCQunN8hqCzAeTYa9UzAGt4/s0P1bIa+5CNkzQCRngBFUDl61DuNwnJgUZ1JOq0o2Po7Q==" saltValue="U5419Ts7Gn22ZDTUrU5s0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MALAGA</v>
      </c>
      <c r="E3" s="287"/>
    </row>
    <row r="4" spans="2:20" ht="17.25" customHeight="1" thickBot="1">
      <c r="D4" s="286" t="str">
        <f>Criterios!A11 &amp;"  "&amp;Criterios!B11</f>
        <v>Resumenes por Partidos Judiciales  MARBELLA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0.11696869851729819</v>
      </c>
      <c r="I9" s="395">
        <f>IF(ISNUMBER((Tasas!C9-Datos!BE9)/Datos!BE9),(Tasas!C9-Datos!BE9)/Datos!BE9," - ")</f>
        <v>7.045648204503807E-3</v>
      </c>
      <c r="J9" s="394">
        <f>IF(ISNUMBER((Tasas!D9-Datos!BF9)/Datos!BF9),(Tasas!D9-Datos!BF9)/Datos!BF9," - ")</f>
        <v>-0.30042734924834541</v>
      </c>
      <c r="K9" s="396">
        <f>IF(ISNUMBER((Tasas!E9-Datos!BG9)/Datos!BG9),(Tasas!E9-Datos!BG9)/Datos!BG9," - ")</f>
        <v>1.0338850651647892E-2</v>
      </c>
      <c r="M9" t="e">
        <f>IF(Monitorios="SI",Datos!CE9,0)</f>
        <v>#REF!</v>
      </c>
      <c r="N9" t="e">
        <f>IF(Monitorios="SI",Datos!CF9,0)</f>
        <v>#REF!</v>
      </c>
      <c r="O9" t="e">
        <f>IF(Monitorios="SI",Datos!CG9,0)</f>
        <v>#REF!</v>
      </c>
      <c r="P9" t="e">
        <f>IF(Monitorios="SI",Datos!CH9,0)</f>
        <v>#REF!</v>
      </c>
      <c r="Q9">
        <f>IF(J_V="SI",0,Datos!AG9)</f>
        <v>203</v>
      </c>
      <c r="R9">
        <f>IF(J_V="SI",0,Datos!AH9)</f>
        <v>186</v>
      </c>
      <c r="S9">
        <f>IF(J_V="SI",0,Datos!AI9)</f>
        <v>153</v>
      </c>
      <c r="T9">
        <f>IF(J_V="SI",0,Datos!AJ9)</f>
        <v>236</v>
      </c>
    </row>
    <row r="10" spans="2:20" ht="14.25">
      <c r="B10" s="300" t="s">
        <v>321</v>
      </c>
      <c r="C10" s="7" t="str">
        <f>Datos!A10</f>
        <v>Jdos. Violencia contra la mujer</v>
      </c>
      <c r="D10" s="397">
        <f>IF(ISNUMBER((Datos!I10-Datos!S10)/Datos!S10),(Datos!I10-Datos!S10)/Datos!S10," - ")</f>
        <v>0.28048780487804881</v>
      </c>
      <c r="E10" s="393">
        <f>IF(ISNUMBER((Datos!J10-Datos!T10)/Datos!T10),(Datos!J10-Datos!T10)/Datos!T10," - ")</f>
        <v>-0.7142857142857143</v>
      </c>
      <c r="F10" s="393">
        <f>IF(ISNUMBER((Datos!K10-Datos!U10)/Datos!U10),(Datos!K10-Datos!U10)/Datos!U10," - ")</f>
        <v>1</v>
      </c>
      <c r="G10" s="394">
        <f>IF(ISNUMBER((Datos!L10-Datos!V10)/Datos!V10),(Datos!L10-Datos!V10)/Datos!V10," - ")</f>
        <v>-0.24761904761904763</v>
      </c>
      <c r="H10" s="244">
        <f>IF(ISNUMBER((Datos!M10-Datos!W10)/Datos!W10),(Datos!M10-Datos!W10)/Datos!W10," - ")</f>
        <v>5</v>
      </c>
      <c r="I10" s="395">
        <f>IF(ISNUMBER((Tasas!C10-Datos!BE10)/Datos!BE10),(Tasas!C10-Datos!BE10)/Datos!BE10," - ")</f>
        <v>-0.62380952380952381</v>
      </c>
      <c r="J10" s="394">
        <f>IF(ISNUMBER((Tasas!D10-Datos!BF10)/Datos!BF10),(Tasas!D10-Datos!BF10)/Datos!BF10," - ")</f>
        <v>2</v>
      </c>
      <c r="K10" s="396">
        <f>IF(ISNUMBER((Tasas!E10-Datos!BG10)/Datos!BG10),(Tasas!E10-Datos!BG10)/Datos!BG10," - ")</f>
        <v>-0.52822580645161288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0.14098360655737704</v>
      </c>
      <c r="I14" s="402">
        <f>IF(ISNUMBER((Tasas!C14-Datos!BE14)/Datos!BE14),(Tasas!C14-Datos!BE14)/Datos!BE14," - ")</f>
        <v>-3.57272528526402E-3</v>
      </c>
      <c r="J14" s="400">
        <f>IF(ISNUMBER((Tasas!D14-Datos!BF14)/Datos!BF14),(Tasas!D14-Datos!BF14)/Datos!BF14," - ")</f>
        <v>-0.28925686403593692</v>
      </c>
      <c r="K14" s="403">
        <f>IF(ISNUMBER((Tasas!E14-Datos!BG14)/Datos!BG14),(Tasas!E14-Datos!BG14)/Datos!BG14," - ")</f>
        <v>2.2961299394017357E-3</v>
      </c>
      <c r="M14" t="e">
        <f>IF(Monitorios="SI",Datos!CE14,0)</f>
        <v>#REF!</v>
      </c>
      <c r="N14" t="e">
        <f>IF(Monitorios="SI",Datos!CF14,0)</f>
        <v>#REF!</v>
      </c>
      <c r="O14" t="e">
        <f>IF(Monitorios="SI",Datos!CG14,0)</f>
        <v>#REF!</v>
      </c>
      <c r="P14" t="e">
        <f>IF(Monitorios="SI",Datos!CH14,0)</f>
        <v>#REF!</v>
      </c>
      <c r="Q14">
        <f>IF(J_V="SI",0,Datos!AG14)</f>
        <v>203</v>
      </c>
      <c r="R14">
        <f>IF(J_V="SI",0,Datos!AH14)</f>
        <v>186</v>
      </c>
      <c r="S14">
        <f>IF(J_V="SI",0,Datos!AI14)</f>
        <v>153</v>
      </c>
      <c r="T14">
        <f>IF(J_V="SI",0,Datos!AJ14)</f>
        <v>236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-2.1937842778793418E-2</v>
      </c>
      <c r="E16" s="393">
        <f>IF(ISNUMBER(
   IF(D_I="SI",(Datos!J16-Datos!T16)/Datos!T16,(Datos!J16+Datos!AD16-(Datos!T16+Datos!AL16))/(Datos!T16+Datos!AL16))
     ),IF(D_I="SI",(Datos!J16-Datos!T16)/Datos!T16,(Datos!J16+Datos!AD16-(Datos!T16+Datos!AL16))/(Datos!T16+Datos!AL16))," - ")</f>
        <v>0.20608695652173914</v>
      </c>
      <c r="F16" s="393">
        <f>IF(ISNUMBER(
   IF(D_I="SI",(Datos!K16-Datos!U16)/Datos!U16,(Datos!K16+Datos!AE16-(Datos!U16+Datos!AM16))/(Datos!U16+Datos!AM16))
     ),IF(D_I="SI",(Datos!K16-Datos!U16)/Datos!U16,(Datos!K16+Datos!AE16-(Datos!U16+Datos!AM16))/(Datos!U16+Datos!AM16))," - ")</f>
        <v>0.12098351494830958</v>
      </c>
      <c r="G16" s="394">
        <f>IF(ISNUMBER(
   IF(D_I="SI",(Datos!L16-Datos!V16)/Datos!V16,(Datos!L16+Datos!AF16-(Datos!V16+Datos!AN16))/(Datos!V16+Datos!AN16))
     ),IF(D_I="SI",(Datos!L16-Datos!V16)/Datos!V16,(Datos!L16+Datos!AF16-(Datos!V16+Datos!AN16))/(Datos!V16+Datos!AN16))," - ")</f>
        <v>7.9984979346601578E-2</v>
      </c>
      <c r="H16" s="244">
        <f>IF(ISNUMBER((Datos!M16-Datos!W16)/Datos!W16),(Datos!M16-Datos!W16)/Datos!W16," - ")</f>
        <v>-1.1267605633802818E-2</v>
      </c>
      <c r="I16" s="395">
        <f>IF(ISNUMBER((Tasas!C16-Datos!BE16)/Datos!BE16),(Tasas!C16-Datos!BE16)/Datos!BE16," - ")</f>
        <v>-3.6573718573906538E-2</v>
      </c>
      <c r="J16" s="394">
        <f>IF(ISNUMBER((Tasas!D16-Datos!BF16)/Datos!BF16),(Tasas!D16-Datos!BF16)/Datos!BF16," - ")</f>
        <v>-0.11797775687023436</v>
      </c>
      <c r="K16" s="396">
        <f>IF(ISNUMBER((Tasas!E16-Datos!BG16)/Datos!BG16),(Tasas!E16-Datos!BG16)/Datos!BG16," - ")</f>
        <v>-1.4031309466910561E-2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-0.11428571428571428</v>
      </c>
      <c r="E18" s="393">
        <f>IF(ISNUMBER(
   IF(D_I="SI",(Datos!J18-Datos!T18)/Datos!T18,(Datos!J18+Datos!AD18-(Datos!T18+Datos!AL18))/(Datos!T18+Datos!AL18))
     ),IF(D_I="SI",(Datos!J18-Datos!T18)/Datos!T18,(Datos!J18+Datos!AD18-(Datos!T18+Datos!AL18))/(Datos!T18+Datos!AL18))," - ")</f>
        <v>0.17209302325581396</v>
      </c>
      <c r="F18" s="393">
        <f>IF(ISNUMBER(
   IF(D_I="SI",(Datos!K18-Datos!U18)/Datos!U18,(Datos!K18+Datos!AE18-(Datos!U18+Datos!AM18))/(Datos!U18+Datos!AM18))
     ),IF(D_I="SI",(Datos!K18-Datos!U18)/Datos!U18,(Datos!K18+Datos!AE18-(Datos!U18+Datos!AM18))/(Datos!U18+Datos!AM18))," - ")</f>
        <v>7.2992700729927005E-3</v>
      </c>
      <c r="G18" s="394">
        <f>IF(ISNUMBER(
   IF(D_I="SI",(Datos!L18-Datos!V18)/Datos!V18,(Datos!L18+Datos!AF18-(Datos!V18+Datos!AN18))/(Datos!V18+Datos!AN18))
     ),IF(D_I="SI",(Datos!L18-Datos!V18)/Datos!V18,(Datos!L18+Datos!AF18-(Datos!V18+Datos!AN18))/(Datos!V18+Datos!AN18))," - ")</f>
        <v>-0.15748031496062992</v>
      </c>
      <c r="H18" s="244">
        <f>IF(ISNUMBER((Datos!M18-Datos!W18)/Datos!W18),(Datos!M18-Datos!W18)/Datos!W18," - ")</f>
        <v>1.3571428571428572</v>
      </c>
      <c r="I18" s="395">
        <f>IF(ISNUMBER((Tasas!C18-Datos!BE18)/Datos!BE18),(Tasas!C18-Datos!BE18)/Datos!BE18," - ")</f>
        <v>-0.16358553006961085</v>
      </c>
      <c r="J18" s="394">
        <f>IF(ISNUMBER((Tasas!D18-Datos!BF18)/Datos!BF18),(Tasas!D18-Datos!BF18)/Datos!BF18," - ")</f>
        <v>1.3400621118012424</v>
      </c>
      <c r="K18" s="396">
        <f>IF(ISNUMBER((Tasas!E18-Datos!BG18)/Datos!BG18),(Tasas!E18-Datos!BG18)/Datos!BG18," - ")</f>
        <v>5.1479893855888977E-2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-2.6434782608695653E-2</v>
      </c>
      <c r="E23" s="399">
        <f>IF(ISNUMBER(
   IF(D_I="SI",(Datos!J23-Datos!T23)/Datos!T23,(Datos!J23+Datos!AD23-(Datos!T23+Datos!AL23))/(Datos!T23+Datos!AL23))
     ),IF(D_I="SI",(Datos!J23-Datos!T23)/Datos!T23,(Datos!J23+Datos!AD23-(Datos!T23+Datos!AL23))/(Datos!T23+Datos!AL23))," - ")</f>
        <v>0.20409276944065485</v>
      </c>
      <c r="F23" s="399">
        <f>IF(ISNUMBER(
   IF(D_I="SI",(Datos!K23-Datos!U23)/Datos!U23,(Datos!K23+Datos!AE23-(Datos!U23+Datos!AM23))/(Datos!U23+Datos!AM23))
     ),IF(D_I="SI",(Datos!K23-Datos!U23)/Datos!U23,(Datos!K23+Datos!AE23-(Datos!U23+Datos!AM23))/(Datos!U23+Datos!AM23))," - ")</f>
        <v>0.11289903970931742</v>
      </c>
      <c r="G23" s="400">
        <f>IF(ISNUMBER(
   IF(D_I="SI",(Datos!L23-Datos!V23)/Datos!V23,(Datos!L23+Datos!AF23-(Datos!V23+Datos!AN23))/(Datos!V23+Datos!AN23))
     ),IF(D_I="SI",(Datos!L23-Datos!V23)/Datos!V23,(Datos!L23+Datos!AF23-(Datos!V23+Datos!AN23))/(Datos!V23+Datos!AN23))," - ")</f>
        <v>6.9175627240143367E-2</v>
      </c>
      <c r="H23" s="401">
        <f>IF(ISNUMBER((Datos!M23-Datos!W23)/Datos!W23),(Datos!M23-Datos!W23)/Datos!W23," - ")</f>
        <v>4.065040650406504E-2</v>
      </c>
      <c r="I23" s="402">
        <f>IF(ISNUMBER((Tasas!C23-Datos!BE23)/Datos!BE23),(Tasas!C23-Datos!BE23)/Datos!BE23," - ")</f>
        <v>-3.9287851735943909E-2</v>
      </c>
      <c r="J23" s="400">
        <f>IF(ISNUMBER((Tasas!D23-Datos!BF23)/Datos!BF23),(Tasas!D23-Datos!BF23)/Datos!BF23," - ")</f>
        <v>-6.4919305909477004E-2</v>
      </c>
      <c r="K23" s="403">
        <f>IF(ISNUMBER((Tasas!E23-Datos!BG23)/Datos!BG23),(Tasas!E23-Datos!BG23)/Datos!BG23," - ")</f>
        <v>-9.117400383404169E-3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4.9368650906674262E-3</v>
      </c>
      <c r="E31" s="409">
        <f>IF(ISNUMBER(
   IF(J_V="SI",(Datos!J31-Datos!T31)/Datos!T31,(Datos!J31+Datos!Z31-(Datos!T31+Datos!AH31))/(Datos!T31+Datos!AH31))
     ),IF(J_V="SI",(Datos!J31-Datos!T31)/Datos!T31,(Datos!J31+Datos!Z31-(Datos!T31+Datos!AH31))/(Datos!T31+Datos!AH31))," - ")</f>
        <v>9.9003735990037353E-2</v>
      </c>
      <c r="F31" s="409">
        <f>IF(ISNUMBER(
   IF(J_V="SI",(Datos!K31-Datos!U31)/Datos!U31,(Datos!K31+Datos!AA31-(Datos!U31+Datos!AI31))/(Datos!U31+Datos!AI31))
     ),IF(J_V="SI",(Datos!K31-Datos!U31)/Datos!U31,(Datos!K31+Datos!AA31-(Datos!U31+Datos!AI31))/(Datos!U31+Datos!AI31))," - ")</f>
        <v>6.6718027734976884E-2</v>
      </c>
      <c r="G31" s="410">
        <f>IF(ISNUMBER(
   IF(J_V="SI",(Datos!L31-Datos!V31)/Datos!V31,(Datos!L31+Datos!AB31-(Datos!V31+Datos!AJ31))/(Datos!V31+Datos!AJ31))
     ),IF(J_V="SI",(Datos!L31-Datos!V31)/Datos!V31,(Datos!L31+Datos!AB31-(Datos!V31+Datos!AJ31))/(Datos!V31+Datos!AJ31))," - ")</f>
        <v>1.493658994833255E-2</v>
      </c>
      <c r="H31" s="411">
        <f>IF(ISNUMBER((Datos!M31-Datos!W31)/Datos!W31),(Datos!M31-Datos!W31)/Datos!W31," - ")</f>
        <v>0.10316649642492338</v>
      </c>
      <c r="I31" s="408">
        <f>IF(ISNUMBER((Tasas!C31-Datos!BE31)/Datos!BE31),(Tasas!C31-Datos!BE31)/Datos!BE31," - ")</f>
        <v>-4.8542760542441402E-2</v>
      </c>
      <c r="J31" s="409">
        <f>IF(ISNUMBER((Tasas!D31-Datos!BF31)/Datos!BF31),(Tasas!D31-Datos!BF31)/Datos!BF31," - ")</f>
        <v>-0.24948017089820057</v>
      </c>
      <c r="K31" s="410">
        <f>IF(ISNUMBER((Tasas!E31-Datos!BG31)/Datos!BG31),(Tasas!E31-Datos!BG31)/Datos!BG31," - ")</f>
        <v>-2.4509582151575868E-2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0.17266900333185012</v>
      </c>
      <c r="E33" s="303">
        <f t="shared" si="1"/>
        <v>0.45445532480683221</v>
      </c>
      <c r="F33" s="303">
        <f t="shared" si="1"/>
        <v>0.46271063776033378</v>
      </c>
      <c r="G33" s="304">
        <f t="shared" si="1"/>
        <v>0.1642375768657551</v>
      </c>
      <c r="H33" s="310">
        <f t="shared" si="1"/>
        <v>1.9758032781261605</v>
      </c>
      <c r="I33" s="302">
        <f t="shared" si="1"/>
        <v>0.24316145110784768</v>
      </c>
      <c r="J33" s="303">
        <f t="shared" si="1"/>
        <v>0.98885451064718211</v>
      </c>
      <c r="K33" s="304">
        <f t="shared" si="1"/>
        <v>0.22022466906473714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KBR+jA0boInxzhE3/6S93zzlnJRqKuqNvy8AAiHQ5GMp18k7V/M86OvAR7DPJcx5NdWXJhn1fT5p4S4eyjh5Dg==" saltValue="S6V2OZs+utWAO6Cc7Qrvt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2023-05-05T16:26:58Z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